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drawings/drawing1.xml" ContentType="application/vnd.openxmlformats-officedocument.drawing+xml"/>
  <Override PartName="/xl/worksheets/sheet1.xml" ContentType="application/vnd.openxmlformats-officedocument.spreadsheetml.worksheet+xml"/>
  <Override PartName="/xl/drawings/drawing2.xml" ContentType="application/vnd.openxmlformats-officedocument.drawing+xml"/>
  <Override PartName="/xl/worksheets/sheet2.xml" ContentType="application/vnd.openxmlformats-officedocument.spreadsheetml.worksheet+xml"/>
  <Override PartName="/xl/drawings/drawing3.xml" ContentType="application/vnd.openxmlformats-officedocument.drawing+xml"/>
  <Override PartName="/xl/worksheets/sheet3.xml" ContentType="application/vnd.openxmlformats-officedocument.spreadsheetml.worksheet+xml"/>
  <Override PartName="/xl/drawings/drawing4.xml" ContentType="application/vnd.openxmlformats-officedocument.drawing+xml"/>
  <Override PartName="/xl/worksheets/sheet4.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_rels/.rels" ContentType="application/vnd.openxmlformats-package.relationships+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http://schemas.openxmlformats.org/spreadsheetml/2006/main" xmlns:r="http://schemas.openxmlformats.org/officeDocument/2006/relationships">
  <workbookPr date1904="false"/>
  <bookViews>
    <workbookView activeTab="0" showHorizontalScroll="true" showVerticalScroll="true" showSheetTabs="true"/>
  </bookViews>
  <sheets>
    <sheet name="Krycí list rozpočtu" sheetId="1" r:id="rId1"/>
    <sheet name="VORN" sheetId="2" r:id="rId2"/>
    <sheet name="Rozpočet - skupiny" sheetId="3" r:id="rId3"/>
    <sheet name="Stavební rozpočet" sheetId="4" r:id="rId4"/>
  </sheets>
  <definedNames>
    <definedName name="vorn_sum">VORN!$I$45</definedName>
  </definedNames>
  <calcPr refMode="A1"/>
</workbook>
</file>

<file path=xl/sharedStrings.xml><?xml version="1.0" encoding="utf-8"?>
<sst xmlns="http://schemas.openxmlformats.org/spreadsheetml/2006/main" count="1130" uniqueCount="1130">
  <si>
    <t>Krycí list slepého rozpočtu</t>
  </si>
  <si>
    <t>Název stavby:</t>
  </si>
  <si>
    <t>Objednatel:</t>
  </si>
  <si>
    <t>IČO/DIČ:</t>
  </si>
  <si>
    <t/>
  </si>
  <si>
    <t>Druh stavby:</t>
  </si>
  <si>
    <t>Projektant:</t>
  </si>
  <si>
    <t>Lokalita:</t>
  </si>
  <si>
    <t>Zhotovitel:</t>
  </si>
  <si>
    <t>Začátek výstavby:</t>
  </si>
  <si>
    <t>Konec výstavby:</t>
  </si>
  <si>
    <t>Položek:</t>
  </si>
  <si>
    <t>JKSO:</t>
  </si>
  <si>
    <t>Zpracoval:</t>
  </si>
  <si>
    <t>Datum:</t>
  </si>
  <si>
    <t>Rozpočtové náklady v Kč</t>
  </si>
  <si>
    <t>A</t>
  </si>
  <si>
    <t>Základní rozpočtové náklady</t>
  </si>
  <si>
    <t>B</t>
  </si>
  <si>
    <t>Doplňkové náklady</t>
  </si>
  <si>
    <t>C</t>
  </si>
  <si>
    <t>Náklady na umístění stavby (NUS)</t>
  </si>
  <si>
    <t>HSV</t>
  </si>
  <si>
    <t>Dodávky</t>
  </si>
  <si>
    <t>Práce přesčas</t>
  </si>
  <si>
    <t>Zařízení staveniště</t>
  </si>
  <si>
    <t>Montáž</t>
  </si>
  <si>
    <t>Bez pevné podl.</t>
  </si>
  <si>
    <t>Mimostav. doprava</t>
  </si>
  <si>
    <t>PSV</t>
  </si>
  <si>
    <t>Kulturní památka</t>
  </si>
  <si>
    <t>Územní vlivy</t>
  </si>
  <si>
    <t>Provozní vlivy</t>
  </si>
  <si>
    <t>"M"</t>
  </si>
  <si>
    <t>Ostatní</t>
  </si>
  <si>
    <t>NUS z rozpočtu</t>
  </si>
  <si>
    <t>Ostatní materiál</t>
  </si>
  <si>
    <t>Přesun hmot a sutí</t>
  </si>
  <si>
    <t>ZRN celkem</t>
  </si>
  <si>
    <t>DN celkem</t>
  </si>
  <si>
    <t>NUS celkem</t>
  </si>
  <si>
    <t>DN celkem z obj.</t>
  </si>
  <si>
    <t>NUS celkem z obj.</t>
  </si>
  <si>
    <t>VORN celkem</t>
  </si>
  <si>
    <t>VORN celkem z obj.</t>
  </si>
  <si>
    <t>Základ 0%</t>
  </si>
  <si>
    <t>Základ 12%</t>
  </si>
  <si>
    <t>DPH 12%</t>
  </si>
  <si>
    <t>Celkem bez DPH</t>
  </si>
  <si>
    <t>Základ 21%</t>
  </si>
  <si>
    <t>DPH 21%</t>
  </si>
  <si>
    <t>Celkem včetně DPH</t>
  </si>
  <si>
    <t>Projektant</t>
  </si>
  <si>
    <t>Objednatel</t>
  </si>
  <si>
    <t>Zhotovitel</t>
  </si>
  <si>
    <t>Datum, razítko a podpis</t>
  </si>
  <si>
    <t>Poznámka:</t>
  </si>
  <si>
    <t>Vedlejší a ostatní rozpočtové náklady</t>
  </si>
  <si>
    <t>Vedlejší rozpočtové náklady VRN</t>
  </si>
  <si>
    <t>Doplňkové náklady DN</t>
  </si>
  <si>
    <t>Kč</t>
  </si>
  <si>
    <t>%</t>
  </si>
  <si>
    <t>Základna</t>
  </si>
  <si>
    <t>Celkem DN</t>
  </si>
  <si>
    <t>Celkem NUS</t>
  </si>
  <si>
    <t>Celkem VRN</t>
  </si>
  <si>
    <t>Vedlejší a ostatní rozpočtové náklady VORN</t>
  </si>
  <si>
    <t>Ostatní rozpočtové náklady (VORN)</t>
  </si>
  <si>
    <t>Průzkumy, geodetické a projektové práce</t>
  </si>
  <si>
    <t>Příprava staveniště</t>
  </si>
  <si>
    <t>Inženýrské činnosti</t>
  </si>
  <si>
    <t>Finanční náklady</t>
  </si>
  <si>
    <t>Náklady na pracovníky</t>
  </si>
  <si>
    <t>Ostatní náklady</t>
  </si>
  <si>
    <t>Vlastní VORN</t>
  </si>
  <si>
    <t>Celkem VORN</t>
  </si>
  <si>
    <t>Slepý stavební rozpočet - Jen skupiny</t>
  </si>
  <si>
    <t>Doba výstavby:</t>
  </si>
  <si>
    <t>Zpracováno dne:</t>
  </si>
  <si>
    <t xml:space="preserve"> </t>
  </si>
  <si>
    <t>Náklady (Kč)</t>
  </si>
  <si>
    <t>Kód</t>
  </si>
  <si>
    <t>Zkrácený popis</t>
  </si>
  <si>
    <t>Dodávka</t>
  </si>
  <si>
    <t>Celkem</t>
  </si>
  <si>
    <t>Rekonstrukce kurtů</t>
  </si>
  <si>
    <t>F</t>
  </si>
  <si>
    <t>SO01</t>
  </si>
  <si>
    <t>1</t>
  </si>
  <si>
    <t>Zemní práce</t>
  </si>
  <si>
    <t>T</t>
  </si>
  <si>
    <t>3</t>
  </si>
  <si>
    <t>Svislé a kompletní konstrukce</t>
  </si>
  <si>
    <t>5</t>
  </si>
  <si>
    <t>Komunikace</t>
  </si>
  <si>
    <t>76</t>
  </si>
  <si>
    <t>Konstrukce</t>
  </si>
  <si>
    <t>78</t>
  </si>
  <si>
    <t>Dokončovací práce</t>
  </si>
  <si>
    <t>9</t>
  </si>
  <si>
    <t>Dokončovací práce, demolice</t>
  </si>
  <si>
    <t>Â </t>
  </si>
  <si>
    <t>Odvodnění kurtů</t>
  </si>
  <si>
    <t>SO02</t>
  </si>
  <si>
    <t>2</t>
  </si>
  <si>
    <t>Základy, zvláštní zakládání, zpevňování hornin</t>
  </si>
  <si>
    <t>4</t>
  </si>
  <si>
    <t>Vodorovné konstrukce</t>
  </si>
  <si>
    <t>71</t>
  </si>
  <si>
    <t>Izolace</t>
  </si>
  <si>
    <t>8</t>
  </si>
  <si>
    <t>Trubní vedení</t>
  </si>
  <si>
    <t>Rozvody závlah</t>
  </si>
  <si>
    <t>SO03</t>
  </si>
  <si>
    <t>73</t>
  </si>
  <si>
    <t>Ústřední vytápění</t>
  </si>
  <si>
    <t>Elektroinstalace</t>
  </si>
  <si>
    <t>SO04</t>
  </si>
  <si>
    <t>DIO</t>
  </si>
  <si>
    <t>SO05</t>
  </si>
  <si>
    <t>Celkem:</t>
  </si>
  <si>
    <t>Slepý stavební rozpočet</t>
  </si>
  <si>
    <t>Volejbalové kurty Lužánky, oprava hřišť - projektová dokumentace - I.etapa</t>
  </si>
  <si>
    <t>Statutární město Brno</t>
  </si>
  <si>
    <t>Oprava hřišť</t>
  </si>
  <si>
    <t>02.10.2023</t>
  </si>
  <si>
    <t>ing. Machovec</t>
  </si>
  <si>
    <t>Brno</t>
  </si>
  <si>
    <t> </t>
  </si>
  <si>
    <t>8233396</t>
  </si>
  <si>
    <t>21.07.2024</t>
  </si>
  <si>
    <t>Č</t>
  </si>
  <si>
    <t>MJ</t>
  </si>
  <si>
    <t>Množství</t>
  </si>
  <si>
    <t>Cena/MJ</t>
  </si>
  <si>
    <t>Cenová</t>
  </si>
  <si>
    <t>ISWORK</t>
  </si>
  <si>
    <t>GROUPCODE</t>
  </si>
  <si>
    <t>VATTAX</t>
  </si>
  <si>
    <t>Rozměry</t>
  </si>
  <si>
    <t>(Kč)</t>
  </si>
  <si>
    <t>soustava</t>
  </si>
  <si>
    <t>Přesuny</t>
  </si>
  <si>
    <t>Typ skupiny</t>
  </si>
  <si>
    <t>HSV mat</t>
  </si>
  <si>
    <t>HSV prac</t>
  </si>
  <si>
    <t>PSV mat</t>
  </si>
  <si>
    <t>PSV prac</t>
  </si>
  <si>
    <t>Mont mat</t>
  </si>
  <si>
    <t>Mont prac</t>
  </si>
  <si>
    <t>Ostatní mat.</t>
  </si>
  <si>
    <t>MAT</t>
  </si>
  <si>
    <t>WORK</t>
  </si>
  <si>
    <t>CELK</t>
  </si>
  <si>
    <t>11</t>
  </si>
  <si>
    <t>Přípravné a přidružené práce</t>
  </si>
  <si>
    <t>111200001RA0</t>
  </si>
  <si>
    <t>Odstranění křovin a stromů do 100 mm, spálení</t>
  </si>
  <si>
    <t>m2</t>
  </si>
  <si>
    <t>RTS I / 2024</t>
  </si>
  <si>
    <t>11_</t>
  </si>
  <si>
    <t>SO01_1_</t>
  </si>
  <si>
    <t>SO01_</t>
  </si>
  <si>
    <t>100</t>
  </si>
  <si>
    <t>115100001RAA</t>
  </si>
  <si>
    <t>Čerpání vody na výšku 10 m, do 500 l</t>
  </si>
  <si>
    <t>h</t>
  </si>
  <si>
    <t>včetně pohotovosti čerpací soupravy</t>
  </si>
  <si>
    <t>13</t>
  </si>
  <si>
    <t>Hloubené vykopávky</t>
  </si>
  <si>
    <t>130900030RAC</t>
  </si>
  <si>
    <t>Bourání konstrukcí z betonu prostého ve výkopu</t>
  </si>
  <si>
    <t>m3</t>
  </si>
  <si>
    <t>13_</t>
  </si>
  <si>
    <t>odvoz do 10 km, uložení na skládku</t>
  </si>
  <si>
    <t>bourání st. základů</t>
  </si>
  <si>
    <t>bourání st. schodiště</t>
  </si>
  <si>
    <t>RTS komentář:</t>
  </si>
  <si>
    <t>V položce není kalkulován poplatek za skládku pro vybouranou suť. Tyto náklady se oceňují individuálně podle místních podmínek, Orentační hmotnost vybouraných konstrukcí je 2,2 t/m3 konstrukce</t>
  </si>
  <si>
    <t>18</t>
  </si>
  <si>
    <t>Povrchové úpravy terénu</t>
  </si>
  <si>
    <t>184807111R00</t>
  </si>
  <si>
    <t>Ochrana stromu bedněním - zřízení</t>
  </si>
  <si>
    <t>18_</t>
  </si>
  <si>
    <t>4*12</t>
  </si>
  <si>
    <t>184807112R00</t>
  </si>
  <si>
    <t>Ochrana stromu bedněním - odstranění</t>
  </si>
  <si>
    <t>38</t>
  </si>
  <si>
    <t>Různé kompletní konstrukce nedělitelné do stav. dílů</t>
  </si>
  <si>
    <t>6</t>
  </si>
  <si>
    <t>380320040RAA</t>
  </si>
  <si>
    <t>Kompletní konstrukce ze železobetonu C 25/30</t>
  </si>
  <si>
    <t>38_</t>
  </si>
  <si>
    <t>SO01_3_</t>
  </si>
  <si>
    <t>bednění a odbednění, výztuž 90 kg/m3</t>
  </si>
  <si>
    <t>10,3*0,45</t>
  </si>
  <si>
    <t>oprava rampy/schodiště u objektu</t>
  </si>
  <si>
    <t>58</t>
  </si>
  <si>
    <t>Kryty pozemních komunikací, letišť a ploch z betonu a ostatních hmot</t>
  </si>
  <si>
    <t>7</t>
  </si>
  <si>
    <t>589116111vd</t>
  </si>
  <si>
    <t>Kryt ploch pro tělových. směs škváry a cihlářské hlíny tl. 6 cm</t>
  </si>
  <si>
    <t>RTS II / 2023</t>
  </si>
  <si>
    <t>58_</t>
  </si>
  <si>
    <t>SO01_5_</t>
  </si>
  <si>
    <t>patentní deska</t>
  </si>
  <si>
    <t>700</t>
  </si>
  <si>
    <t>589116113R00</t>
  </si>
  <si>
    <t>Kryt ploch pro tělovýchovu antukových tl. do 2 cm</t>
  </si>
  <si>
    <t>589116116R00</t>
  </si>
  <si>
    <t>Kryt ploch pro tělovýchovu škvára,struska tl. do 10cm</t>
  </si>
  <si>
    <t>767</t>
  </si>
  <si>
    <t>Konstrukce doplňkové stavební (zámečnické)</t>
  </si>
  <si>
    <t>10</t>
  </si>
  <si>
    <t>767900040vd</t>
  </si>
  <si>
    <t>Demontáž a zětná montáž oplocení z pletiva/sítí</t>
  </si>
  <si>
    <t>m</t>
  </si>
  <si>
    <t>767_</t>
  </si>
  <si>
    <t>SO01_76_</t>
  </si>
  <si>
    <t>(40+126)*2</t>
  </si>
  <si>
    <t>V položce není kalkulován poplatek za skládku pro vybouranou suť. Tyto náklady se oceňují individuálně podle místních podmínek. Orientační hmotnost vybouraných konstrukcí je 0,012 t/m2 konstrukce.</t>
  </si>
  <si>
    <t>767900090RA0</t>
  </si>
  <si>
    <t>Demontáž atypických ocelových konstrukcí</t>
  </si>
  <si>
    <t>kg</t>
  </si>
  <si>
    <t>stávající sloupky, madla, empire, zábradlí .......</t>
  </si>
  <si>
    <t>21*11,5</t>
  </si>
  <si>
    <t>sloupky - jižní část u vjezdu</t>
  </si>
  <si>
    <t>87*6,7</t>
  </si>
  <si>
    <t>sloupky - mezistěny - hřiště</t>
  </si>
  <si>
    <t>9*60</t>
  </si>
  <si>
    <t>empire</t>
  </si>
  <si>
    <t>500</t>
  </si>
  <si>
    <t>stávající tribuny</t>
  </si>
  <si>
    <t>V položce není kalkulován poplatek za skládku pro vybouranou suť. Tyto náklady se oceňují individuálně podle místních podmínek.</t>
  </si>
  <si>
    <t>12</t>
  </si>
  <si>
    <t>767990010RAD</t>
  </si>
  <si>
    <t>Atypické ocelové konstrukce - montáž</t>
  </si>
  <si>
    <t>50 - 100 kg/kus</t>
  </si>
  <si>
    <t>650</t>
  </si>
  <si>
    <t>sloupky, příčníky, lanka, sítě - hřiště</t>
  </si>
  <si>
    <t>270</t>
  </si>
  <si>
    <t>sloupky, madla, příčníky, sítě - jižní strana, vjezd</t>
  </si>
  <si>
    <t>783</t>
  </si>
  <si>
    <t>Nátěry</t>
  </si>
  <si>
    <t>783900090RAB</t>
  </si>
  <si>
    <t>Ostatní práce pro nátěry</t>
  </si>
  <si>
    <t>783_</t>
  </si>
  <si>
    <t>SO01_78_</t>
  </si>
  <si>
    <t>odmaštění konstrukcí a výrobků, plotů</t>
  </si>
  <si>
    <t>60</t>
  </si>
  <si>
    <t>14</t>
  </si>
  <si>
    <t>783950010RAA</t>
  </si>
  <si>
    <t>Oprava nátěrů kovových konstrukcí syntet. lakem</t>
  </si>
  <si>
    <t xml:space="preserve">oškrábání, odrezivění, 1x krycí + 1x email
vč. opravy plotu</t>
  </si>
  <si>
    <t>S</t>
  </si>
  <si>
    <t>Přesuny sutí</t>
  </si>
  <si>
    <t>15</t>
  </si>
  <si>
    <t>979095311R00</t>
  </si>
  <si>
    <t>Naložení a složení vybouraných hmot/konstrukcí</t>
  </si>
  <si>
    <t>t</t>
  </si>
  <si>
    <t>S_</t>
  </si>
  <si>
    <t>SO01_9_</t>
  </si>
  <si>
    <t>1,6229+0,5</t>
  </si>
  <si>
    <t>16</t>
  </si>
  <si>
    <t>979990103R00</t>
  </si>
  <si>
    <t>Poplatek za uložení suti - beton, skupina odpadu 170101</t>
  </si>
  <si>
    <t>10*2,2</t>
  </si>
  <si>
    <t>VORN</t>
  </si>
  <si>
    <t>01VRN</t>
  </si>
  <si>
    <t>17</t>
  </si>
  <si>
    <t>012002VRNVD</t>
  </si>
  <si>
    <t>Geodetické práce</t>
  </si>
  <si>
    <t>Soubor</t>
  </si>
  <si>
    <t>99</t>
  </si>
  <si>
    <t>01VRN_</t>
  </si>
  <si>
    <t>SO01_Â _</t>
  </si>
  <si>
    <t>rozměření a vytýčení kurtů</t>
  </si>
  <si>
    <t>013002VRN</t>
  </si>
  <si>
    <t>Projektové práce</t>
  </si>
  <si>
    <t xml:space="preserve">Část projektové práce obsahuje položky:
- dokumentace skutečného provedení
- zhotovitelská dokumentace
- dílenská dokumentace</t>
  </si>
  <si>
    <t>03VRN</t>
  </si>
  <si>
    <t>19</t>
  </si>
  <si>
    <t>030001VRN</t>
  </si>
  <si>
    <t>03VRN_</t>
  </si>
  <si>
    <t>pro celou stavbu</t>
  </si>
  <si>
    <t>20</t>
  </si>
  <si>
    <t>Čerpání vody na výšku 10 m, do 500 l/min</t>
  </si>
  <si>
    <t>SO02_1_</t>
  </si>
  <si>
    <t>SO02_</t>
  </si>
  <si>
    <t>1008</t>
  </si>
  <si>
    <t>jáma</t>
  </si>
  <si>
    <t>672</t>
  </si>
  <si>
    <t>rýhy</t>
  </si>
  <si>
    <t>21</t>
  </si>
  <si>
    <t>119001411R00</t>
  </si>
  <si>
    <t>Dočasné zajištění beton.a plast. potrubí do DN 200</t>
  </si>
  <si>
    <t>vodovod</t>
  </si>
  <si>
    <t>kanalizace</t>
  </si>
  <si>
    <t>Položku lze použít i pro potrubí kameninové nebo železobetonové.</t>
  </si>
  <si>
    <t>Odkopávky a prokopávky</t>
  </si>
  <si>
    <t>22</t>
  </si>
  <si>
    <t>120001101R00</t>
  </si>
  <si>
    <t>Příplatek za ztížení vykopávky v blízkosti vedení</t>
  </si>
  <si>
    <t>12_</t>
  </si>
  <si>
    <t>5*3*1*0,8</t>
  </si>
  <si>
    <t>Položka se používá i pro ztížení vykopávky v blízkosti výbušnin.</t>
  </si>
  <si>
    <t>23</t>
  </si>
  <si>
    <t>131201202R00</t>
  </si>
  <si>
    <t>Hloubení zapažených jam v hor.3 do 1000 m3</t>
  </si>
  <si>
    <t>12,005*3,47*2,5</t>
  </si>
  <si>
    <t>24</t>
  </si>
  <si>
    <t>131201209R00</t>
  </si>
  <si>
    <t>Příplatek za lepivost - hloubení zapaž.jam v hor.3</t>
  </si>
  <si>
    <t>104,1434*0,5</t>
  </si>
  <si>
    <t>50%</t>
  </si>
  <si>
    <t>Do měrných jednotek se udává poměrné množství zeminy, které ulpí v nářadí a o které je snížen celkový výkon stroje</t>
  </si>
  <si>
    <t>25</t>
  </si>
  <si>
    <t>132201211R00</t>
  </si>
  <si>
    <t>Hloubení rýh š.do 200 cm hor.3 do 100 m3,STROJNĚ</t>
  </si>
  <si>
    <t>88*1*0,775</t>
  </si>
  <si>
    <t>D1</t>
  </si>
  <si>
    <t>8*1*1,97</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</si>
  <si>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t>
  </si>
  <si>
    <t>26</t>
  </si>
  <si>
    <t>132201219R00</t>
  </si>
  <si>
    <t>Přípl.za lepivost,hloubení rýh 200cm,hor.3,STROJNĚ</t>
  </si>
  <si>
    <t>83,96*0,5</t>
  </si>
  <si>
    <t>27</t>
  </si>
  <si>
    <t>132203302R00</t>
  </si>
  <si>
    <t>Hloubení rýh pro drény, hloubky do 1,1 m, v hor.3</t>
  </si>
  <si>
    <t>492</t>
  </si>
  <si>
    <t>V položce jsou započteny i náklady na svislépřemístění výkopku i na odstranění napadané horniny.</t>
  </si>
  <si>
    <t>28</t>
  </si>
  <si>
    <t>139601102R00</t>
  </si>
  <si>
    <t>Ruční výkop jam, rýh a šachet v hornině tř. 3</t>
  </si>
  <si>
    <t>3*1*1*1</t>
  </si>
  <si>
    <t>prohloubení pod KŠ</t>
  </si>
  <si>
    <t>Roubení</t>
  </si>
  <si>
    <t>29</t>
  </si>
  <si>
    <t>151101101R00</t>
  </si>
  <si>
    <t>Pažení a rozepření stěn rýh - příložné - hl.do 2 m</t>
  </si>
  <si>
    <t>15_</t>
  </si>
  <si>
    <t>8*1,97*2</t>
  </si>
  <si>
    <t>Odstranění pažení a rozepření se oceňuje samostatně.</t>
  </si>
  <si>
    <t>30</t>
  </si>
  <si>
    <t>151101111R00</t>
  </si>
  <si>
    <t>Odstranění pažení stěn rýh - příložné - hl. do 2 m</t>
  </si>
  <si>
    <t>31,52</t>
  </si>
  <si>
    <t>31</t>
  </si>
  <si>
    <t>151101201R00</t>
  </si>
  <si>
    <t>Pažení stěn výkopu - příložné - hloubky do 4 m</t>
  </si>
  <si>
    <t>3*4*1</t>
  </si>
  <si>
    <t>Položka neobsahuje rozepření ani vzepření pažení. Odstranění pažení se oceňuje samostatně.</t>
  </si>
  <si>
    <t>32</t>
  </si>
  <si>
    <t>151101211R00</t>
  </si>
  <si>
    <t>Odstranění pažení stěn - příložné - hl. do 4 m</t>
  </si>
  <si>
    <t>33</t>
  </si>
  <si>
    <t>151101301R00</t>
  </si>
  <si>
    <t>Rozepření stěn pažení - příložné -  hl. do 4 m</t>
  </si>
  <si>
    <t>Odstranění rozepření stěn se oceňuje samostatně.</t>
  </si>
  <si>
    <t>34</t>
  </si>
  <si>
    <t>151101311R00</t>
  </si>
  <si>
    <t>Odstranění rozepření stěn - příložné - hl. do 4 m</t>
  </si>
  <si>
    <t>35</t>
  </si>
  <si>
    <t>151101401R00</t>
  </si>
  <si>
    <t>Vzepření stěn pažení - příložné - hl. do 4 m</t>
  </si>
  <si>
    <t>V položce je zakalkulováno i potřebné přepažování. Odstranění vzepření se oceňuje samostatně.</t>
  </si>
  <si>
    <t>36</t>
  </si>
  <si>
    <t>151101411R00</t>
  </si>
  <si>
    <t>Odstranění vzepření stěn - příložné - hl. do 4 m</t>
  </si>
  <si>
    <t>37</t>
  </si>
  <si>
    <t>151201201R00</t>
  </si>
  <si>
    <t>Pažení stěn výkopu - zátažné - hloubky do 4 m</t>
  </si>
  <si>
    <t>(2*12,005+2*3,47)*2,5</t>
  </si>
  <si>
    <t>151201211R00</t>
  </si>
  <si>
    <t>Odstranění pažení stěn - zátažné - hl. do 4 m</t>
  </si>
  <si>
    <t>77,375</t>
  </si>
  <si>
    <t>39</t>
  </si>
  <si>
    <t>151201301R00</t>
  </si>
  <si>
    <t>Rozepření stěn pažení - zátažné -  hl. do 4 m</t>
  </si>
  <si>
    <t>104,1434</t>
  </si>
  <si>
    <t>40</t>
  </si>
  <si>
    <t>151201311R00</t>
  </si>
  <si>
    <t>Odstranění rozepření stěn - zátažné - hl. do 4 m</t>
  </si>
  <si>
    <t>41</t>
  </si>
  <si>
    <t>151201401R00</t>
  </si>
  <si>
    <t>Vzepření stěn pažení - zátažné - hl. do 4 m</t>
  </si>
  <si>
    <t>42</t>
  </si>
  <si>
    <t>151201411R00</t>
  </si>
  <si>
    <t>Odstranění vzepření stěn - zátažné - hl. do 4 m</t>
  </si>
  <si>
    <t>Přemístění výkopku</t>
  </si>
  <si>
    <t>43</t>
  </si>
  <si>
    <t>161101101R00</t>
  </si>
  <si>
    <t>Svislé přemístění výkopku z hor.1-4 do 2,5 m</t>
  </si>
  <si>
    <t>16_</t>
  </si>
  <si>
    <t>15,76</t>
  </si>
  <si>
    <t>rýha</t>
  </si>
  <si>
    <t>KŠ</t>
  </si>
  <si>
    <t xml:space="preserve">Platí pro hloubky výkopu od 1 do 2,5 m. Při hloubce do 1 m se svislé přemístění neoceňuje.  Tabulka pro určení podílu svislého přemístění výkopku. Číselná hodnota uvedená v tabulce udává procento z celkového objemu výkopávky, pro něž se oceňuje svislé přemístění výkopku.  a) hloubení jam objemu do 100 m3  100 %  objemu do 1000 m3  8 % objemu do 10000 m3  3 %  objemu nad 10000 m3  2 %  b) hloubení rýh š. do 60 cm bez ohledu na objem  100 %  c) hloubení rýh š. do 200 cm objemu do 100 m3  100 % objemu nad 100 m3  50 %  d) hloubení zářezů objemu do 1000 m3  neoceňuje se objemu do 10000 m3  neoceňuje se objemu nad 10000 m3  neoceňuje se  </t>
  </si>
  <si>
    <t>44</t>
  </si>
  <si>
    <t>162701105R00</t>
  </si>
  <si>
    <t>Vodorovné přemístění výkopku z hor.1-4 do 10000 m</t>
  </si>
  <si>
    <t>82,7684</t>
  </si>
  <si>
    <t>83,96</t>
  </si>
  <si>
    <t>104,304</t>
  </si>
  <si>
    <t>drény</t>
  </si>
  <si>
    <t>Konstrukce ze zemin</t>
  </si>
  <si>
    <t>45</t>
  </si>
  <si>
    <t>171201201R00</t>
  </si>
  <si>
    <t>Uložení sypaniny na skl.-sypanina na výšku přes 2m</t>
  </si>
  <si>
    <t>17_</t>
  </si>
  <si>
    <t>274,0324</t>
  </si>
  <si>
    <t>Položka se nepoužívá pro prosté vysypání zeminy na skládku. To je zahrnuto v ceně odvozu. Položka neobsahuje náklady na získání skládek ani na poplatky za skládku.</t>
  </si>
  <si>
    <t>46</t>
  </si>
  <si>
    <t>174100010RAA</t>
  </si>
  <si>
    <t>Zásyp jam, rýh a šachet sypaninou</t>
  </si>
  <si>
    <t>dovoz sypaniny ze vzdálenosti 50 m</t>
  </si>
  <si>
    <t>85,5*0,25</t>
  </si>
  <si>
    <t>47</t>
  </si>
  <si>
    <t>174100050RAD</t>
  </si>
  <si>
    <t>Zásyp jam,rýh a šachet štěrkopískem</t>
  </si>
  <si>
    <t>dovoz štěrkopísku ze vzdálenosti 15 km</t>
  </si>
  <si>
    <t>8*1*1,19</t>
  </si>
  <si>
    <t>104,1434-3*8-4,93-5,346-6,25</t>
  </si>
  <si>
    <t>JÁMA</t>
  </si>
  <si>
    <t>48</t>
  </si>
  <si>
    <t>175100020RAD</t>
  </si>
  <si>
    <t>Obsyp potrubí štěrkopískem</t>
  </si>
  <si>
    <t>dovoz štěrkopísku ze vzdálenosti 15km</t>
  </si>
  <si>
    <t>492*0,4*0,27</t>
  </si>
  <si>
    <t>49</t>
  </si>
  <si>
    <t>175101101RT2</t>
  </si>
  <si>
    <t>Obsyp potrubí bez prohození sypaniny</t>
  </si>
  <si>
    <t>s dodáním štěrkopísku frakce 0 - 22 mm</t>
  </si>
  <si>
    <t>96*1*0,45+5*1*0,45</t>
  </si>
  <si>
    <t>Včetně dodávky kameniva</t>
  </si>
  <si>
    <t>50</t>
  </si>
  <si>
    <t>182201101R00</t>
  </si>
  <si>
    <t>Svahování násypů</t>
  </si>
  <si>
    <t>19*4,5</t>
  </si>
  <si>
    <t>kolem RN a ČS</t>
  </si>
  <si>
    <t>Hloubení pro podzemní stěny, ražení a hloubení důlní</t>
  </si>
  <si>
    <t>51</t>
  </si>
  <si>
    <t>199000002R00</t>
  </si>
  <si>
    <t>Poplatek za skládku horniny 1- 4, č. dle katal. odpadů 17 05 04</t>
  </si>
  <si>
    <t>19_</t>
  </si>
  <si>
    <t>274,0324+3</t>
  </si>
  <si>
    <t>Úprava podloží a základové spáry</t>
  </si>
  <si>
    <t>52</t>
  </si>
  <si>
    <t>212810010RAC</t>
  </si>
  <si>
    <t>Trativody z PVC drenážních flexibilních trubek</t>
  </si>
  <si>
    <t>21_</t>
  </si>
  <si>
    <t>SO02_2_</t>
  </si>
  <si>
    <t>lože štěrkopísek a obsyp kamenivo, trubky d 100 mm</t>
  </si>
  <si>
    <t>96</t>
  </si>
  <si>
    <t>53</t>
  </si>
  <si>
    <t>212971121R00</t>
  </si>
  <si>
    <t>Opláštění trativ. z geot.,sklon nad 1:2,5 do 2,5 m</t>
  </si>
  <si>
    <t>150</t>
  </si>
  <si>
    <t>Studny</t>
  </si>
  <si>
    <t>54</t>
  </si>
  <si>
    <t>2400001vdVD</t>
  </si>
  <si>
    <t>Odvodňovací spouštěná studna DN600 pro výkop</t>
  </si>
  <si>
    <t>kus</t>
  </si>
  <si>
    <t>vlastní</t>
  </si>
  <si>
    <t>24_</t>
  </si>
  <si>
    <t>Výkop studny, spouštění pláště studny a dodávka skruží, svislé přemístění výkopku na terén a odvoz do 15 km a uložení na skládku, bez poplatku za skládku, výplň dna studny těženým kamenivem</t>
  </si>
  <si>
    <t>Základy</t>
  </si>
  <si>
    <t>55</t>
  </si>
  <si>
    <t>273361921RT8</t>
  </si>
  <si>
    <t>Výztuž základových desek ze svařovaných sítí</t>
  </si>
  <si>
    <t>27_</t>
  </si>
  <si>
    <t>KY 81, drát d 8,0 mm, oko 100 x 100 mm</t>
  </si>
  <si>
    <t>58,61*0,00546</t>
  </si>
  <si>
    <t>V položce jsou zakalkulovány náklady na dodání plošně rovných sítí, jejich uložení a případné stříhání a její vyvázání nebo přivaření bodovými svary. Položka neobsahuje ohýbání sítí do hran.</t>
  </si>
  <si>
    <t>56</t>
  </si>
  <si>
    <t>380321462R00</t>
  </si>
  <si>
    <t>Beton komplet.konstrukcí železový C 35/45 do 30 cm</t>
  </si>
  <si>
    <t>SO02_3_</t>
  </si>
  <si>
    <t>min. objemová hmotnost 2400kg/m3 !!!</t>
  </si>
  <si>
    <t>3*(0,59+1,73+0,623)</t>
  </si>
  <si>
    <t>výplňový beton - AN</t>
  </si>
  <si>
    <t>2,14+0,4</t>
  </si>
  <si>
    <t>výplňový beton - ČS</t>
  </si>
  <si>
    <t>57</t>
  </si>
  <si>
    <t>380326142RT4</t>
  </si>
  <si>
    <t>Beton komplet.konstr.vodostavební C 30/37 do 30 cm</t>
  </si>
  <si>
    <t>železobeton, vliv prostředí XF3 - min objemová hmotnost 2400kg/m3 !!!</t>
  </si>
  <si>
    <t>3*(1,84*1,84*3,14/4*0,27)</t>
  </si>
  <si>
    <t>dobetonávka - AN</t>
  </si>
  <si>
    <t>(1,27*1,27*3,14/4*0,158)+(1,27*1,27*3,14/4*0,125)</t>
  </si>
  <si>
    <t>dobetonávka - ČS</t>
  </si>
  <si>
    <t>Položka je určena pro konstrukce z železobetonu v prostředí XF4- působení mrazu a rozmrazování</t>
  </si>
  <si>
    <t>388129720R00</t>
  </si>
  <si>
    <t>Montáž prefa.kanálů ze ŽB, krycích desek do 1 t</t>
  </si>
  <si>
    <t>3*1</t>
  </si>
  <si>
    <t>AN</t>
  </si>
  <si>
    <t>Podkladní a vedlejší konstrukce (kromě vozovek a železničního svršku)</t>
  </si>
  <si>
    <t>59</t>
  </si>
  <si>
    <t>451572111RK1</t>
  </si>
  <si>
    <t>Lože pod potrubí z kameniva těženého 0 - 4 mm</t>
  </si>
  <si>
    <t>45_</t>
  </si>
  <si>
    <t>SO02_4_</t>
  </si>
  <si>
    <t>kraj Jihomoravský</t>
  </si>
  <si>
    <t>96*1*0,15</t>
  </si>
  <si>
    <t>5*1*0,15</t>
  </si>
  <si>
    <t>obsyp KŠ</t>
  </si>
  <si>
    <t>Položka je určena pro práce v otevřeném výkopu, pro práce ve štole se k položce používá příplatek 45154-1192</t>
  </si>
  <si>
    <t>451575111R00</t>
  </si>
  <si>
    <t>Podkladní vrstva tl. do 25 cm ze štěrkopísku</t>
  </si>
  <si>
    <t>12,005*3,47*0,15</t>
  </si>
  <si>
    <t>61</t>
  </si>
  <si>
    <t>451578111R00</t>
  </si>
  <si>
    <t>Dno drenáž. rýhy zpevněné štěrkopískem tl. do 15cm</t>
  </si>
  <si>
    <t>pískové lože 8-16mm</t>
  </si>
  <si>
    <t>62</t>
  </si>
  <si>
    <t>452311171R00</t>
  </si>
  <si>
    <t>Desky podkladní pod potrubí z betonu C 30/37 XF3 XA2</t>
  </si>
  <si>
    <t>(10,157*2,54+2,54*0,733/2)*0,2</t>
  </si>
  <si>
    <t>Položka je určena pro práce v otevřeném výkopu, pro práce ve štole se k položce používá příplatek 45231-1192. Položka je určena i pro ochrannou vrstvu pod železobetonové konstrukce</t>
  </si>
  <si>
    <t>63</t>
  </si>
  <si>
    <t>452351101R00</t>
  </si>
  <si>
    <t>Bednění desek nebo sedlových loží pod potrubí</t>
  </si>
  <si>
    <t>(2*10,157+2,54+2*1,475)*0,2</t>
  </si>
  <si>
    <t>Položka je určena pro práce v otevřeném výkopu, pro práce ve štole se k položce používá příplatek 45235-1192. Položka je určena i pro bednění desek nebo sedlových loží pod stoky a drobné objekty. V položkách jsou zakalkulovány i náklady na odbednění a nátěr proti přilnavosti betonu</t>
  </si>
  <si>
    <t>Podkladní vrstvy komunikací, letišť a ploch</t>
  </si>
  <si>
    <t>64</t>
  </si>
  <si>
    <t>568111111R00</t>
  </si>
  <si>
    <t>Zřízení vrstvy z geotextilie skl.do 1:5, š.do 3 m</t>
  </si>
  <si>
    <t>56_</t>
  </si>
  <si>
    <t>SO02_5_</t>
  </si>
  <si>
    <t>1004</t>
  </si>
  <si>
    <t>711</t>
  </si>
  <si>
    <t>Izolace proti vodě</t>
  </si>
  <si>
    <t>65</t>
  </si>
  <si>
    <t>711141559RZ2</t>
  </si>
  <si>
    <t>Provedení izolace proti vlhkosti na ploše vodorovné, asfaltovými pásy přitavením</t>
  </si>
  <si>
    <t>711_</t>
  </si>
  <si>
    <t>SO02_71_</t>
  </si>
  <si>
    <t>2 vrstvy - včetně dodávky</t>
  </si>
  <si>
    <t>3*3</t>
  </si>
  <si>
    <t>2,5</t>
  </si>
  <si>
    <t>ČS</t>
  </si>
  <si>
    <t>Plochy izolací jednotlivě menší než 10 m2 se oceňují s příplatkem položka číslo 711 19 - 9097.Při stanovení množství izolace se z celkového množství neodečítají otvory nebo neizolované plochy menší než 2 m2</t>
  </si>
  <si>
    <t>66</t>
  </si>
  <si>
    <t>711142559RZ2</t>
  </si>
  <si>
    <t>Provedení izolace proti vlhkosti na ploše svislé, asfaltovými pásy přitavením</t>
  </si>
  <si>
    <t>Plochy izolací jednotlivě menší než 10 m2 se oceňují s příplatkem položka číslo 711 19 - 9097. Při stanovení množství izolace se z celkového množství neodečítají otvory nebo neizolované plochy menší než 1 m2</t>
  </si>
  <si>
    <t>67</t>
  </si>
  <si>
    <t>711199097R00</t>
  </si>
  <si>
    <t>Příplatek za plochu do 10 m2, izolace proti vlhkosti, natavenými asfaltovými pásy</t>
  </si>
  <si>
    <t>15,5</t>
  </si>
  <si>
    <t>Položka platí jen tehdy, nepřesáhne-li součet ploch vodorovné a svislé izolační vrstvy 10 m2.</t>
  </si>
  <si>
    <t>87</t>
  </si>
  <si>
    <t>Potrubí z trub plastických, skleněných a čedičových</t>
  </si>
  <si>
    <t>68</t>
  </si>
  <si>
    <t>871218111R00</t>
  </si>
  <si>
    <t>Kladení dren. potrubí do rýhy, PVC, do 90 mm</t>
  </si>
  <si>
    <t>87_</t>
  </si>
  <si>
    <t>SO02_8_</t>
  </si>
  <si>
    <t>drenáže</t>
  </si>
  <si>
    <t>69</t>
  </si>
  <si>
    <t>871313121R00</t>
  </si>
  <si>
    <t>Montáž trub kanaliz. z plastu, hrdlových, do DN 150</t>
  </si>
  <si>
    <t>DN100</t>
  </si>
  <si>
    <t>104</t>
  </si>
  <si>
    <t>DN150</t>
  </si>
  <si>
    <t>V položce je uvažováno s jedním spojem na 6 m potrubí. Položka je určena pro montáž potrubí z kanalizačních trub z plastu těsněných gumovým kroužkem v otevřeném výkopu ve sklonu do 20 %. V položce montáže potrubí nejsou zakalkulovány náklady na dodání trub; tyto náklady se oceňují ve specifikaci. Ztratné se doporučuje ve výši PVC 3 %, PE 1,5 %</t>
  </si>
  <si>
    <t>70</t>
  </si>
  <si>
    <t>877313123R00</t>
  </si>
  <si>
    <t>Montáž tvarovek jednoos. plast. gum.kroužek do DN 150</t>
  </si>
  <si>
    <t>24+24+24+24</t>
  </si>
  <si>
    <t>Položka je určena pro montáž tvarovek jednoosých na potrubí z kanalizačních trub z plastu těsněných gumovým kroužkem v otevřeném výkopu. Napojení trubních řadů z trub z plastu na jiný druh potrubí se oceňuje individuálně. V položce montáže tvarovek nejsou zakalkulovány náklady na dodání tvarovek; tyto náklady se oceňují ve specifikaci. Ztratné se doporučuje ve výši 1,5 %</t>
  </si>
  <si>
    <t>877313126R00</t>
  </si>
  <si>
    <t>Montáž víčka nebo zátky plast. gum. kroužek DN 150</t>
  </si>
  <si>
    <t>72</t>
  </si>
  <si>
    <t>877353121R00</t>
  </si>
  <si>
    <t>Montáž tvarovek odboč. plast. gum. kroužek DN 200</t>
  </si>
  <si>
    <t>Položka je určena pro montáž tvarovek odbočných na potrubí z kanalizačních trub z plastu těsněných gumovým kroužkem v otevřeném výkopu. Napojení trubních řadů z trub z plastu na jiný druh potrubí se oceňuje individuálně. V položce montáže tvarovek nejsou zakalkulovány náklady na dodání tvarovek; tyto náklady se oceňují ve specifikaci. Ztratné se doporučuje ve výši 1,5 %</t>
  </si>
  <si>
    <t>89</t>
  </si>
  <si>
    <t>Ostatní konstrukce a práce na trubním vedení</t>
  </si>
  <si>
    <t>891372121R00</t>
  </si>
  <si>
    <t>Montáž kanalizačních šoupátek nebo stavítek do DN 300</t>
  </si>
  <si>
    <t>89_</t>
  </si>
  <si>
    <t>vč. osazení ZZS</t>
  </si>
  <si>
    <t>V položce jsou zakalkulovány i náklady na vysekání otvorů pro kotevní šrouby, na osazení rámů, kotevních šroubů vodícího zařízení a na provedení izolačního nátěru. V položce nejsou zakalkulovány náklady na dodání šoupátek, stavítek a vodícího zařízení; tyto náklady se oceňují ve specifikaci. Ztratné se nestanoví</t>
  </si>
  <si>
    <t>74</t>
  </si>
  <si>
    <t>892571111R00</t>
  </si>
  <si>
    <t>Zkouška těsnosti kanalizace DN do 200, vodou</t>
  </si>
  <si>
    <t>106</t>
  </si>
  <si>
    <t>V položce jsou zakalkulovány náklady na napuštění vodou a dodání vody pro zkoušku těsnosti</t>
  </si>
  <si>
    <t>75</t>
  </si>
  <si>
    <t>892855113R00</t>
  </si>
  <si>
    <t>Kontrola kanalizace TV kamerou do 100 m</t>
  </si>
  <si>
    <t>892916111R00</t>
  </si>
  <si>
    <t>Utěsnění přípojek do DN 200 při zkoušce kanal.</t>
  </si>
  <si>
    <t>sada</t>
  </si>
  <si>
    <t xml:space="preserve">Položka je určena pro utěsnění přípojek z jakéholiv druhu potrubí při zkoušce těsnosti vzduchem nebo vodou. V položce jsou zakalkulovány náklady na osazení a odstranění těsnicích uzávěrů, naplnění vzduchem a po provedení zkoušky vypuštění vzduchu. </t>
  </si>
  <si>
    <t>77</t>
  </si>
  <si>
    <t>894421112RT1</t>
  </si>
  <si>
    <t>Osazení betonových dílců šachet do 1,4 t</t>
  </si>
  <si>
    <t>skruže rovné, na kroužek, do 1,4 t</t>
  </si>
  <si>
    <t>Položka je určena pro osazení betonových dílců šachet dle DIN 4034, skruže rovné na kroužek, hmotnost do 1,4 t. V položce nejsou zakalkulovány náklady na dodání betonových dílců; dílce se oceňují ve specifikaci. Ztratné se doporučuje 1 %</t>
  </si>
  <si>
    <t>894431311RBB</t>
  </si>
  <si>
    <t>Šachta, D 425 mm, dl.šach.roury 1,50 m, přímá</t>
  </si>
  <si>
    <t>dno KG D 160 mm, poklop šedá litina 40 t</t>
  </si>
  <si>
    <t>Osazení plastového dna, osazení korugované šachtové roury, vložení těsnění, osazení šachtové teleskopické roury a litinového poklopu.</t>
  </si>
  <si>
    <t>79</t>
  </si>
  <si>
    <t>894431321RBB</t>
  </si>
  <si>
    <t>Šachta, D 425 mm, dl.šach.roury 2,0 m, přímá</t>
  </si>
  <si>
    <t>80</t>
  </si>
  <si>
    <t>894431322RAC</t>
  </si>
  <si>
    <t>Šachta, D 425 mm, dl.šach.roury 2,0 m, 1 přítok</t>
  </si>
  <si>
    <t>dno KG D 160 mm, poklop děrovaný litina 40 t</t>
  </si>
  <si>
    <t>Osazení plastového dna, osazení korugované šachtové roury, vložení těsnění, osazení šachtové teleskopické roury a litinového poklopu</t>
  </si>
  <si>
    <t>81</t>
  </si>
  <si>
    <t>894431332RAB</t>
  </si>
  <si>
    <t>Šachta, D 425 mm, dl.šach.roury 3,0 m, 1 přítok</t>
  </si>
  <si>
    <t>82</t>
  </si>
  <si>
    <t>899103111RT2</t>
  </si>
  <si>
    <t>Osazení poklopu s rámem do 150 kg</t>
  </si>
  <si>
    <t>včetně dodávky poklopu lit. kruhového D 600</t>
  </si>
  <si>
    <t>Položka je určena pro osazení poklopů litinových a ocelových včetně rámů a platí i pro osazení rektifikačních kroužků nebo rámečků. V položkách jsou zakalkulovány náklady na dodání poklop litinového kruhového D 600.  V položce jsou zakalkulovány i náklady na cementovou maltu</t>
  </si>
  <si>
    <t>83</t>
  </si>
  <si>
    <t>899401112R00</t>
  </si>
  <si>
    <t>Osazení poklopů litinových šoupátkových</t>
  </si>
  <si>
    <t>V položkách osazení poklopů jsou zakalkulovány i náklady na jejich podezdění.  V položkách nejsou zakalkulovány náklady na dodání poklopů; Tyto náklady se oceňují ve specifikaci. Ztratné se nestanoví</t>
  </si>
  <si>
    <t>84</t>
  </si>
  <si>
    <t>899431111R00</t>
  </si>
  <si>
    <t>Výšková úprava do 20 cm, zvýšení krytu šoupěte</t>
  </si>
  <si>
    <t>90</t>
  </si>
  <si>
    <t>Hodinové zúčtovací sazby (HZS)</t>
  </si>
  <si>
    <t>85</t>
  </si>
  <si>
    <t>909      R00</t>
  </si>
  <si>
    <t>Hzs-nezmeritelne stavebni prace</t>
  </si>
  <si>
    <t>90_</t>
  </si>
  <si>
    <t>SO02_9_</t>
  </si>
  <si>
    <t>Úprava výšky stávajících revizních šachet na kurtech</t>
  </si>
  <si>
    <t>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</si>
  <si>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93</t>
  </si>
  <si>
    <t>Různé dokončovací konstrukce a práce inženýrských staveb</t>
  </si>
  <si>
    <t>86</t>
  </si>
  <si>
    <t>931981015R00</t>
  </si>
  <si>
    <t>Těsnění trubních prostupů bentonit.páskou 20x5 mm</t>
  </si>
  <si>
    <t>93_</t>
  </si>
  <si>
    <t>0,5</t>
  </si>
  <si>
    <t>Bentonitové bobtnající těsnění chráněné silikonovou fólií k utěsnění prostupů rour v betonových stěnách. Používá se v nádržích s pitnou vodou, čističkách atd.  Položka obsahuje montáž a dodávku samolepicího těsnění</t>
  </si>
  <si>
    <t>97</t>
  </si>
  <si>
    <t>Prorážení otvorů a ostatní bourací práce</t>
  </si>
  <si>
    <t>970051200R00</t>
  </si>
  <si>
    <t>Vrtání jádrové do ŽB do D 200 mm</t>
  </si>
  <si>
    <t>97_</t>
  </si>
  <si>
    <t>0,3</t>
  </si>
  <si>
    <t>H27</t>
  </si>
  <si>
    <t>Vedení trubní dálková a přípojná</t>
  </si>
  <si>
    <t>88</t>
  </si>
  <si>
    <t>998276101R00</t>
  </si>
  <si>
    <t>Přesun hmot, trubní vedení plastová, otevř. výkop</t>
  </si>
  <si>
    <t>H27_</t>
  </si>
  <si>
    <t>1,4784+3,7898</t>
  </si>
  <si>
    <t>Položka je určena pro trubní vedení (vodovod nebo kanalizace) hloubené nebo ražené z trub z plastických hmot nebo sklolaminátových včetně drobných objektů. Platnost položky je vymezena pro nejmenší skladovací plochu 50 m2 + 1,30 m2/t, pro největší dopravní vzdálenost 15 m od hrany výkopu na povrchu nebo 15 m od okraje šachty k těžišti skládek na povrchu. V případech, kdy nejsou splněny tyto podmínky použije se příplatek - 6115 až - 6119</t>
  </si>
  <si>
    <t>M</t>
  </si>
  <si>
    <t>2830004VD</t>
  </si>
  <si>
    <t>Ponorné čerpadlo - max 3,0l/s - stávající jímka</t>
  </si>
  <si>
    <t>0</t>
  </si>
  <si>
    <t>Z99999_</t>
  </si>
  <si>
    <t>SO02_Z_</t>
  </si>
  <si>
    <t xml:space="preserve">Jednostupňové, drenážní čerpadlo s polootevřeným oběžným kolem, navržené na odčerpávání odtokové vody a mírně znečistěné odpadní vody. 10m kabel; vertikální hladinový spínač
Technická specifikace
    Max. průtok, Q: 180l/m
    Maximální dopravní výška, H: 9 m
    Teplota kapaliny: 0°C až +50°C
    Maximální velikost částic: Ř10
    Materiál: korozivzdorná ocel
Motor
    jednofázový nebo třífázový
    synchronní zapouzdřený motor s komorou rotoru vyplněnou kapalinou a vodou mazanými ložisky
    chladí se čerpanou kapalinou, která okolo něj protéká
    Třída pouzdra: IP 68
    Třída izolace: F
    Obsahuje automatickou ochranu před přepětím, která ho v případě přetížení vypne. Po ochlazení na normální teplotu se motor automaticky znovu nastartuje.
Materiálové provedení
    Korozivzdorná ocel, s masivní konstrukcí a vzhůru směřujícím výtlačným hrdlem umístěným na horní straně čerpadla
    Vnější plášť je vyrobený z jediného kusu
    Napájecí síťový kabel a kabel hladinového spínače jsou připojené do jediné vulkanizované vodotěsné zástrčky, která je     vložená do zásuvky hermeticky utěsněného krytu statoru
</t>
  </si>
  <si>
    <t>28302VD</t>
  </si>
  <si>
    <t>Akumulační nádrž  6,0 EO/PB-SV (ATYP)+mont.</t>
  </si>
  <si>
    <t xml:space="preserve">AS NÁDRŽ  6,0 EO/PB/SV - ATYP
Dvouplášťová šachta o rozměrech : vnitřní průměr min.1840 mm, vnější průměr 2240 mm, výška 1980mm. Šachta je dvouplášťové konstrukce, určená pro dobetonování mezipláště na stavbě. Pro betonáž mezipláště je potřeba beton C 35/45.
Hmotnost výrobku musí zajistit bezpečnost proti vyplavání !!!</t>
  </si>
  <si>
    <t>91</t>
  </si>
  <si>
    <t>28303BVD</t>
  </si>
  <si>
    <t>Čerp. stan. 1770/2000EB/PB-SV (ATYP)+přísl+mont</t>
  </si>
  <si>
    <t xml:space="preserve">AS-PUMP 1770/2000 EO/PB-SV- ATYP
Čerpací stanice AS PUMP 1770/2000 EO/PB-SV - dvouplášťová šachta o rozměrech : vnitřní průměr min.1270 mm (ATYP), vnější průměr 1770 mm, výška 2000 mm, šachta je osazena vstupním komínkem 1000 x 840 x 500 mm (1ks). Vtok a odtok dle požadavku objednavatele. Chráničku DN 80 na el. kabely mezi čerpací stanicí el. rozvaděčem zajistí objednavatel. Šachta je dvouplášťové konstrukce, určená pro dobetonování mezipláště na stavbě. Pro betonáž mezipláště je potřeba beton C 35/45. Strop nad nádrží je staticky dimenzován na přitížení terénu konstrukcí vozovky s pojezdem vozidel. Celková výška čerpací stanice je 2500mm (šachta + obslužné komínky). 
AS-Čerpadlo SET MXS 506 1,1kW - 2ks 
Technologické vystrojení včetně včetně přítokového potrubí s s automatickým dopouštěcím ventilem a uzavíracím nožovým šoupátkem DN na vypouštění.
Kompletní vystrojení a příslušenství dle specifikace/dodavatele.
Hmotnost výrobku musí zajistit bezpečnost proti vyplavání !!!</t>
  </si>
  <si>
    <t>92</t>
  </si>
  <si>
    <t>286111901</t>
  </si>
  <si>
    <t>Trubka kanalizační PVC SN 12 DN 150/1000</t>
  </si>
  <si>
    <t>;ztratné 10%; 1,6</t>
  </si>
  <si>
    <t xml:space="preserve">Q12-150/1  Jedná  se  o  plnostěnné kanalizační trubky DN 150 – DN 400, SN 12 kN/m2 , zvenčí  i  zevnitř  hladké. Jsou  opatřeny hrdlem,  v  němž  je  vložen vysoce  elastický  jazýčkový  kroužek.  konce  trubek  (dříků)  jsou opatřeny  zkosením  pod  úhlem  15°.  Způsob  použití  trubek  je  „U“  dle  normy  ČSN  EN  1401-1, tj. mimo budovy. Spolehlivá  funkce  těsnění  je  jištěna  výztužným  kroužkem  z  elastomeru.  Je  tak  zamezeno  vypad-nutí nebo vytlačení kroužku při manipulaci a montáži. Tento systém zaručuje při správné montáži  dokonalou  těsnost  do  výšky  vodního  sloupce  5  metrů.  Teplota při pokládce: min. -10 °C, max. 50 °C Max. teplota média: trvale do 40 °C, krátkodobě do 60 °C Orientační výška krytí: min. 0,5 m, max. 10 m Max. rychlost média: 12 m/s </t>
  </si>
  <si>
    <t>286111902</t>
  </si>
  <si>
    <t>Trubka kanalizační PVC SN 12 DN 150/3000</t>
  </si>
  <si>
    <t>;ztratné 10%; 3</t>
  </si>
  <si>
    <t xml:space="preserve">Q12-150/3  Jedná  se  o  plnostěnné kanalizační trubky DN 150 – DN 400, SN 12 kN/m2 , zvenčí  i  zevnitř  hladké. Jsou  opatřeny hrdlem,  v  němž  je  vložen vysoce  elastický  jazýčkový  kroužek.  konce  trubek  (dříků)  jsou opatřeny  zkosením  pod  úhlem  15°.  Způsob  použití  trubek  je  „U“  dle  normy  ČSN  EN  1401-1, tj. mimo budovy. Spolehlivá  funkce  těsnění  je  jištěna  výztužným  kroužkem  z  elastomeru.  Je  tak  zamezeno  vypad-nutí nebo vytlačení kroužku při manipulaci a montáži. Tento systém zaručuje při správné montáži  dokonalou  těsnost  do  výšky  vodního  sloupce  5  metrů.  Teplota při pokládce: min. -10 °C, max. 50 °C Max. teplota média: trvale do 40 °C, krátkodobě do 60 °C Orientační výška krytí: min. 0,5 m, max. 10 m Max. rychlost média: 12 m/s </t>
  </si>
  <si>
    <t>94</t>
  </si>
  <si>
    <t>28611252.A</t>
  </si>
  <si>
    <t>Trubka PVC-U drenážní flexibilní d 80 mm</t>
  </si>
  <si>
    <t>;ztratné 10%; 49,2</t>
  </si>
  <si>
    <t xml:space="preserve">Struktura: z PVC-U a vrstva PP/kokosových vláken pevně spojená s trubkou plastovými vlákny. Tento moderní kombinovaný filtr zabraňuje ucpávání vsakovacích otvorů.  balení. 50m </t>
  </si>
  <si>
    <t>95</t>
  </si>
  <si>
    <t>28611289.A</t>
  </si>
  <si>
    <t>Redukce PVC d 100/80 mm pro ohebné drenážní trubky</t>
  </si>
  <si>
    <t>28611290</t>
  </si>
  <si>
    <t>Redukce PVC d 125/100 mm pro ohebné dren. trubky</t>
  </si>
  <si>
    <t>28611291.A</t>
  </si>
  <si>
    <t>Redukce PVC d 160/125 mm pro ohebné dren. trubky</t>
  </si>
  <si>
    <t>98</t>
  </si>
  <si>
    <t>28611325.A</t>
  </si>
  <si>
    <t>Zátka PVC d 80 mm pro drenážní trubky</t>
  </si>
  <si>
    <t>286147801</t>
  </si>
  <si>
    <t>Trubka kanalizační odolná PPKGEM SN16 110 x 4,2 x 1000 mm</t>
  </si>
  <si>
    <t>vypouštění z ČS</t>
  </si>
  <si>
    <t>;ztratné 10%; 0,2</t>
  </si>
  <si>
    <t>Kanalizace do náročných podmínek. Kanalizační trubky a tvarovky z polypropylenu, se schopností odolávat vařící vodě a účinkům světla, vyráběné v souladu s DIN EN 14758. Svými vlastnostmi odpovídá požadavkům normy ČSN EN 1852.  Vyznačují se hladkou homogennní stěnou s vysokou kruhovou tuhostí, čímž jsou předurčeny pro uložení v zemi v místech s vyššími vrcholovými tlaky - dálniční vozovky, extrémní hloubky uložení, oblasti s vysokou hladinou podzemní vody atd.  Těsnost spojů systému při přetlaku i podtlaku zajišťuje vícebřitý těsnicí element, který je opatřen napínacím břitem - zabraňuje vniknutí nečistot mezi těsnění a stěnu trubky, vymezovacím břitem - fixuje pozici zasunuté trubky, stíracím břitem - odstraňuje zbytky nečistot ze zasouvaného konce trubky, hlavním břitem - zajišťuje dlouhodobé utěsnění spoje.  Kruhová tuhost SN 16 kN/m2 Dlouhodobá teplotní odolnost 90 °C Vysoká chemická odolnost pH 2 - pH 12 (kyselina / alkalické</t>
  </si>
  <si>
    <t>286506003</t>
  </si>
  <si>
    <t>Koleno kanalizační PVC DN 150/45°</t>
  </si>
  <si>
    <t>Tvarovky kanalizačního systému PVC Teplota při pokládce: min. -10 °C, max. 50 °C Max. teplota média: trvale do 40 °C, krátkodobě do 60 °C Orientační výška krytí: min. 0,5 m, max. 10 m Max. rychlost média: 12 m/s  Q-KGB150/4</t>
  </si>
  <si>
    <t>101</t>
  </si>
  <si>
    <t>286506110</t>
  </si>
  <si>
    <t>Odbočka kanalizační PVC DN 150/150/45°</t>
  </si>
  <si>
    <t>Tvarovky kanalizačního systému PVC Teplota při pokládce: min. -10 °C, max. 50 °C Max. teplota média: trvale do 40 °C, krátkodobě do 60 °C Orientační výška krytí: min. 0,5 m, max. 10 m Max. rychlost média: 12 m/s  Q-KGEA150/150/4</t>
  </si>
  <si>
    <t>102</t>
  </si>
  <si>
    <t>422245104VD</t>
  </si>
  <si>
    <t>Šoupátko deskové , DN 100</t>
  </si>
  <si>
    <t xml:space="preserve">Provedení
těleso: ze šedé litiny EN-GJL -250 dle EN 1561 (GG 250-DIN 1691) uvnitř i vně s epoxidovou ochrannou vrstvou
ložiskový kolík: DN 50 - 200 z tvárné litiny EN-GJS-400-18 dle EN 1563 (GGG 400-DIN 1693) DN 250 - 400 ze šedé litiny EN-GJL -250 dle EN 1561 (GG 250-DIN 1691) s epoxidovou ochrannou vrstvou
vřeteno: z nerez. oceli 1.4021 s válcovaným závitem
deska: z nerez. oceli 1.4301 s válcovaným závitem
vedení desky: do DN 200 ze šedé litiny EN-GJL -250 dle EN 1561 (GG 250-DIN 1691) uvnitř i vně s epoxidovou ochrannou vrstvou
vřetenová matice: z bronzu
sloupek: z nerez. oceli 1.4021
šestihranný šroub : A 2
šestihranná matice : A 2
kluzný disk: z POM
příčné a U-těsnění: z elastomeru
ruční kolo: ze šedé litiny EN-GJL -250 dle EN 1561 (GG 250-DIN 1691) uvnitř i vně s epoxidovou ochrannou vrstvou</t>
  </si>
  <si>
    <t>103</t>
  </si>
  <si>
    <t>422913309</t>
  </si>
  <si>
    <t>Souprava zemní teleskopická DN 100 - 150, max. 2,90 m</t>
  </si>
  <si>
    <t xml:space="preserve">Teleskopická zemní souprava  Technický popis  Použití:  pro ruční ovládání šoupat a domovních šoupátek  Nastavení:  ručně, bez použití nářadí  Ovládání:  Standardním čtyřhranným šoupátkovým klíčem  Spojení s armaturou:  litinovým oříškem a závlačkou z nerezové oceli  Spojení s uličním poklopem:  pomocí bajonetového zámku  Povrchová úprava:  všechny kovové části pozinkovány,  na přání kovové části z nerezové ocele  Přednosti výrobků  Použití silnostěnných kovových materiálů a nerezových spojovacích dílů (kolíčky, závlačky) pro  zvýšení korozivzdornosti a životnosti  Použitelné pro EURO poklop, nebo v kombinaci s podkladovou deskou pro plastový nebo litinový  poklop klasického tvaru  Garantovaný kroutící moment minimálně u obj. č 7.7.X 110 Nm a u obj. č. 7.5.X 250 Nm (certi? ko-  váno akreditovanou zkušební laboratoří)  Konstrukční řešení umožňuje maximální efektivní prodloužení teleskopu při zachování všech předností  Bajonetový spoj EURO poklopu s EURO teleskopickou zemní soupravou zabrání případnému  zcizení poklopu  ovládací čtyřhran  tvárná litina  teleskop  ocel (zinkovaná), popř. nerezová ocel  víko s bajonetovým zámkem  PA6.6  kolík  nerezová ocel A2  chránička  PE  spodní čtyřhran  tvárná litina  přechodka  PE  závlačka  nerezová ocel A2  Vhodné příslušenství  - uliční poklop:  - EURO poklop obj. č. 7.2.1 nebo 7.2.8  - KLASIK - klasicky litinový obj. č. 7.2.4; 7.2.5  - PLAST - klasický plastový obj. č. 7.2.11, 7.2.13  - podkladová deska  - litinová obj. č. 7.2.9  - plastová obj. č. 7.2.10  možné zhotovit i jiné rozsahy  </t>
  </si>
  <si>
    <t>42291353</t>
  </si>
  <si>
    <t>Poklop litinový ČSN 504 - šoupátkový</t>
  </si>
  <si>
    <t xml:space="preserve">Poklop typ 504 ČSN  víko s předlitým nápisem je zajištěno mechanicky proti zcizení provedení  tělesa a víka ze šedé litiny GG-20 ochrana proti korozi - asfaltový nátěr vně i uvnitř typ 504 </t>
  </si>
  <si>
    <t>105</t>
  </si>
  <si>
    <t>422935368</t>
  </si>
  <si>
    <t>přírubové spoj. - pro PE,PVC 100/110</t>
  </si>
  <si>
    <t>Speciální příruba Přírubové spoje jištěné proti posunu pro PE a PVC potrubí. jištěná proti posunu příruba a upínací kroužek: z tvárné litiny GGG 400, s epoxidovou ochrannou vrstvou těsnící kroužek s chlopněmi: z elastomeru ploché těsnění: z elastomeru svěrka: z mosazi šrouby: z nerezové oceli A2</t>
  </si>
  <si>
    <t>59224354</t>
  </si>
  <si>
    <t>Deska zákrytová šachtová TZK-Q.1 100-63/17</t>
  </si>
  <si>
    <t>107</t>
  </si>
  <si>
    <t>59224382</t>
  </si>
  <si>
    <t>Skruž šachtová TBS - Q.1 rozměr 1000/500/120 mm SP D</t>
  </si>
  <si>
    <t>SP = stupadla ocel s plast. obstřikem SL = stupadla litinová dle DIN 1212E  D = deha závěs</t>
  </si>
  <si>
    <t>108</t>
  </si>
  <si>
    <t>69366198</t>
  </si>
  <si>
    <t>Geotextilie netkaná 300 g/m2</t>
  </si>
  <si>
    <t>1004+150</t>
  </si>
  <si>
    <t xml:space="preserve">Netkaná geotextilie zpevněná vpichováním ze 100% z polypropylenu se separační, ochranou, filtrační a zpevňovací funkcí.  Použití v pozemním stavitelství při výstavbě střech, zakládání staveb a výstavbě drenáží, v silničním a železničním stavitelství při výstavbě silničních a železničních násypů, zajišťování svahů, při výstavbě tunelů a drenážních systémů, ve vodním stavitelství při výstavbě nádrží, kanálů a rybníků, pro zajišťování hrází a břehů, při výstavbě ekologických staveb a skládek TKO.  Základní vlastnosti textilie FILTEK: odolává plísním, bakteriím a běžným chemikáliím, nemá negativní vliv na kvalitu pitné vody.  rozměr 2 x 50 </t>
  </si>
  <si>
    <t>109</t>
  </si>
  <si>
    <t>012002VRN</t>
  </si>
  <si>
    <t>SO02_Â _</t>
  </si>
  <si>
    <t>zaměření skutečného provedení</t>
  </si>
  <si>
    <t>110</t>
  </si>
  <si>
    <t xml:space="preserve">Část projektové práce obsahuje položky:
- dokumentace skutečného provedení
- zhotovitelská dokumentace
</t>
  </si>
  <si>
    <t>111</t>
  </si>
  <si>
    <t>SO03_1_</t>
  </si>
  <si>
    <t>SO03_</t>
  </si>
  <si>
    <t>112</t>
  </si>
  <si>
    <t>130901123RT1</t>
  </si>
  <si>
    <t>Bourání konstrukcí ze železobetonu ve vykopávkách</t>
  </si>
  <si>
    <t>pneumatickým kladivem</t>
  </si>
  <si>
    <t>2,8*2,5*0,25</t>
  </si>
  <si>
    <t>Položka neobsahuje svislou ani vodorovnou přepravu vybouraného materiálu, ani uložení a poplatek za skládku.</t>
  </si>
  <si>
    <t>113</t>
  </si>
  <si>
    <t>131201201R00</t>
  </si>
  <si>
    <t>Hloubení zapažených jam v hor.3 do 100 m3</t>
  </si>
  <si>
    <t>2,8*2,5*2,218</t>
  </si>
  <si>
    <t>AŠ</t>
  </si>
  <si>
    <t>114</t>
  </si>
  <si>
    <t>15,526*0,5</t>
  </si>
  <si>
    <t>115</t>
  </si>
  <si>
    <t>132201212R00</t>
  </si>
  <si>
    <t>Hloubení rýh š.do 200 cm hor.3 do 1000m3,STROJNĚ</t>
  </si>
  <si>
    <t>104*1,1*1,05+6*1,1*1,05</t>
  </si>
  <si>
    <t>UV1</t>
  </si>
  <si>
    <t>111*1,1*1,06+6*1,1*1,06</t>
  </si>
  <si>
    <t>ZV1</t>
  </si>
  <si>
    <t>48*1,1*1,06</t>
  </si>
  <si>
    <t>116</t>
  </si>
  <si>
    <t>319,44*0,5</t>
  </si>
  <si>
    <t>117</t>
  </si>
  <si>
    <t>104*1,05*2+6*1,05*2</t>
  </si>
  <si>
    <t>111*1,06*2+6*1,06*2</t>
  </si>
  <si>
    <t>48*1,06*2</t>
  </si>
  <si>
    <t>118</t>
  </si>
  <si>
    <t>580,8</t>
  </si>
  <si>
    <t>119</t>
  </si>
  <si>
    <t>(2*2,8+2*2,5)*2,468</t>
  </si>
  <si>
    <t>120</t>
  </si>
  <si>
    <t>26,1608</t>
  </si>
  <si>
    <t>121</t>
  </si>
  <si>
    <t>15,526</t>
  </si>
  <si>
    <t>122</t>
  </si>
  <si>
    <t>123</t>
  </si>
  <si>
    <t>124</t>
  </si>
  <si>
    <t>125</t>
  </si>
  <si>
    <t>126</t>
  </si>
  <si>
    <t>319,44</t>
  </si>
  <si>
    <t>127</t>
  </si>
  <si>
    <t>334,966</t>
  </si>
  <si>
    <t>128</t>
  </si>
  <si>
    <t>104*1,1*0,42+6*1,1*0,42</t>
  </si>
  <si>
    <t>111*1,1*0,38+6*1,1*0,43</t>
  </si>
  <si>
    <t>48*1,1*0,38</t>
  </si>
  <si>
    <t>15,53-3,79-0,054-0,7-0,7</t>
  </si>
  <si>
    <t>129</t>
  </si>
  <si>
    <t>104*1,1*0,35+6*1,1*0,35</t>
  </si>
  <si>
    <t>111*1,1*0,4+6*1,1*0,35</t>
  </si>
  <si>
    <t>48*1,1*0,4</t>
  </si>
  <si>
    <t>130</t>
  </si>
  <si>
    <t>15,526+319,44</t>
  </si>
  <si>
    <t>131</t>
  </si>
  <si>
    <t>SO03_2_</t>
  </si>
  <si>
    <t>(2,8*2,5*2+5,6*0,1+1,8*0,1)*0,00545</t>
  </si>
  <si>
    <t>132</t>
  </si>
  <si>
    <t>SO03_3_</t>
  </si>
  <si>
    <t>2,8*2,5*0,25-2,8*0,4*0,25</t>
  </si>
  <si>
    <t>oprava bet. rampy/schodiště u AŠ</t>
  </si>
  <si>
    <t>1,1*2,1*0,25</t>
  </si>
  <si>
    <t>oprava bet. rampy/schodiště - prostup vody do objektu</t>
  </si>
  <si>
    <t>133</t>
  </si>
  <si>
    <t>1,296+0,28+0,21</t>
  </si>
  <si>
    <t>134</t>
  </si>
  <si>
    <t>železobeton, vliv prostředí XF3 (XA2) - min. objemová hmotnost 2400kg/m3 !!!</t>
  </si>
  <si>
    <t>1,2*0,9*0,2</t>
  </si>
  <si>
    <t>dobetonávka - AŠ</t>
  </si>
  <si>
    <t>Položka je určena pro konstrukce z železobetonu v prostředí XF3- působení mrazu a rozmrazování</t>
  </si>
  <si>
    <t>Schodiště</t>
  </si>
  <si>
    <t>135</t>
  </si>
  <si>
    <t>430320040RAA</t>
  </si>
  <si>
    <t>Schodišťová konstrukce ŽB beton C 25/30</t>
  </si>
  <si>
    <t>43_</t>
  </si>
  <si>
    <t>SO03_4_</t>
  </si>
  <si>
    <t>bednění, výztuž 90 kg/m3</t>
  </si>
  <si>
    <t>2,8*0,4*0,25</t>
  </si>
  <si>
    <t>oprava bet. schodů u AŠ</t>
  </si>
  <si>
    <t>1,1*0,4*0,25</t>
  </si>
  <si>
    <t>oprava bet. schodů - prostup vody do objektu</t>
  </si>
  <si>
    <t>136</t>
  </si>
  <si>
    <t>104*1,1*0,1+6*1,1*0,1</t>
  </si>
  <si>
    <t>111*1,1*0,1+6*1,1*0,1</t>
  </si>
  <si>
    <t>48*1,1*0,1</t>
  </si>
  <si>
    <t>2,8*2,5*0,1</t>
  </si>
  <si>
    <t>137</t>
  </si>
  <si>
    <t>732</t>
  </si>
  <si>
    <t>Strojovny</t>
  </si>
  <si>
    <t>138</t>
  </si>
  <si>
    <t>732331513R00</t>
  </si>
  <si>
    <t>Nádoby expanzní tlak.s memb.Expanzomat, 25 l</t>
  </si>
  <si>
    <t>soubor</t>
  </si>
  <si>
    <t>732_</t>
  </si>
  <si>
    <t>SO03_73_</t>
  </si>
  <si>
    <t>vč. příslušenství - PV, uzavírací aramtury, šroubení, spojky......</t>
  </si>
  <si>
    <t>139</t>
  </si>
  <si>
    <t>871511101R00</t>
  </si>
  <si>
    <t>Montáž plast.potrubí s elektro.vinutím DN 150 mm</t>
  </si>
  <si>
    <t>SO03_8_</t>
  </si>
  <si>
    <t>109+6</t>
  </si>
  <si>
    <t>121+6+57</t>
  </si>
  <si>
    <t>V položce je uvažováno s jedním spojem na 6 m potrubí. Případné další spoje se dorozpočtují přirážkou za každý další spoj pol. 871 51-2.... V položce není zakalkulována dodávka trub, spojek a tvarovek. Jejich dodávka se oceňuje ve specifikaci. Montáž tvarovek se oceňuje pol. č. 871 51-2...  podle množství a průměru potřebných spojů, popřípadě individuální kalkulací</t>
  </si>
  <si>
    <t>140</t>
  </si>
  <si>
    <t>871512101R00</t>
  </si>
  <si>
    <t>Přirážka za 1 spoj elektrotvarovky DN 150</t>
  </si>
  <si>
    <t>4+14</t>
  </si>
  <si>
    <t>14+14+14+2+12</t>
  </si>
  <si>
    <t>Cena vyjadřuje náklady na jeden spoj. Montáž elektrotvarovky se ocení příslušným počtem spojů = napojení. V položce nejsou zakalkulovány náklady na dodání elektrotvarovek; elektrotvarovky se oceňují ve specifikaci</t>
  </si>
  <si>
    <t>141</t>
  </si>
  <si>
    <t>891173111R00</t>
  </si>
  <si>
    <t>Montáž ventilů hlavních pro přípojky DN 32</t>
  </si>
  <si>
    <t>Položka je určena pro montáž ventilů hlavních pro přípojky. V položce jsou zakalkulovány i náklady na osazení zemních souprav.  V položce nejsou zakalkulovány náklady na: - dodání ventilů; tyto armatury se oceňují ve specifikaci; ztratné se doporučuje ve výši 1 % - podkladní bloky pod armatury, které se oceňují příslušnými položkami souborů 452 Podkladní a zajišťovací konstrukce včetně bednění části A01 tohoto sborníku - osazení ventilových poklopů, které se oceňuje položkami souboru 89940 Osazení poklopů litinových části A01 tohoto sborníku</t>
  </si>
  <si>
    <t>142</t>
  </si>
  <si>
    <t>892241111R00</t>
  </si>
  <si>
    <t>Tlaková zkouška vodovodního potrubí DN 80</t>
  </si>
  <si>
    <t>121+121+57</t>
  </si>
  <si>
    <t>V položce jsou započteny náklady na přísun, montáž, demontáž a odsun zkoušecího čerpadla, napuštění tlakovou vodou a dodání vody pro tlakovou zkoušku</t>
  </si>
  <si>
    <t>143</t>
  </si>
  <si>
    <t>892273111R00</t>
  </si>
  <si>
    <t>Desinfekce vodovodního potrubí DN 125</t>
  </si>
  <si>
    <t>299</t>
  </si>
  <si>
    <t>V položce jsou zakalkulovány náklady na napuštění a vypuštění vody, dodání vody a desinfekčního prostředku a na bakteriologický rozbor vody</t>
  </si>
  <si>
    <t>144</t>
  </si>
  <si>
    <t>894432111vd</t>
  </si>
  <si>
    <t>Osazení plastové šachty prům. do 315 mm</t>
  </si>
  <si>
    <t>šachta rozvodu vody</t>
  </si>
  <si>
    <t>Položka je určena pro osazení plastových šachet</t>
  </si>
  <si>
    <t>145</t>
  </si>
  <si>
    <t>Osazení plastové šachty prům.do 315 mm</t>
  </si>
  <si>
    <t>146</t>
  </si>
  <si>
    <t>899401111R00</t>
  </si>
  <si>
    <t>Osazení poklopů litinových ventilových</t>
  </si>
  <si>
    <t>147</t>
  </si>
  <si>
    <t>Výšková úprava do 20 cm, zvýšení krytu šoupěte/ventilu</t>
  </si>
  <si>
    <t>148</t>
  </si>
  <si>
    <t>899731114R00</t>
  </si>
  <si>
    <t>Vodič signalizační CYY 6 mm2</t>
  </si>
  <si>
    <t>286</t>
  </si>
  <si>
    <t>149</t>
  </si>
  <si>
    <t>SO03_9_</t>
  </si>
  <si>
    <t>osazeni a úprava prost. v objektu pro EXP,prostup do obj., uvedení prost. do pův. stavu</t>
  </si>
  <si>
    <t>vyvedení zimní výpustě do stávající RŠ</t>
  </si>
  <si>
    <t>propojení st. rozvodu vody do nové AŠ</t>
  </si>
  <si>
    <t>151</t>
  </si>
  <si>
    <t>970041060R00</t>
  </si>
  <si>
    <t>Vrtání jádrové do prostého betonu do D 60 mm</t>
  </si>
  <si>
    <t>2*0,15</t>
  </si>
  <si>
    <t>152</t>
  </si>
  <si>
    <t>979100012RA0</t>
  </si>
  <si>
    <t>Odvoz suti a vyb.hmot do 10 km, vnitrost. 25 m</t>
  </si>
  <si>
    <t>4,2</t>
  </si>
  <si>
    <t>153</t>
  </si>
  <si>
    <t>0,7186+0,4175</t>
  </si>
  <si>
    <t>154</t>
  </si>
  <si>
    <t>979095312R00</t>
  </si>
  <si>
    <t>Naložení a složení suti</t>
  </si>
  <si>
    <t>155</t>
  </si>
  <si>
    <t>979990108R00</t>
  </si>
  <si>
    <t>Poplatek za uložení suti - železobeton, skupina odpadu 170101</t>
  </si>
  <si>
    <t>156</t>
  </si>
  <si>
    <t>283-hriste-001VD</t>
  </si>
  <si>
    <t>Zařízení pro údržbu vodovodního systému - zimní provoz</t>
  </si>
  <si>
    <t>vlstní</t>
  </si>
  <si>
    <t>SO03_Z_</t>
  </si>
  <si>
    <t>zařízení pro vypouštění/profouknutí vodovodního závlahového systému stlačeným vzduchem. Odbočky, potrubí, ventily + montážní materiál</t>
  </si>
  <si>
    <t>157</t>
  </si>
  <si>
    <t>2830013VD</t>
  </si>
  <si>
    <t>Armaturní (vodoměrná) šachta vč. dopravy a montáže</t>
  </si>
  <si>
    <t>vč. poklopu, 1,4x1,1x1,8 sv</t>
  </si>
  <si>
    <t xml:space="preserve">Dvouplášťová vodoměrná šachta.
Vodoměrná šachta je určená pro osazení na základovou železobetonovou desku a POD hladinu
podzemní vody.
Maximální zatížení na vodoměrnou šachtu je dle třídy zatížení B 125.
Vnitřní rozměry vodoměrné šachty:
• délka 1 200 mm
• šířka 900 mm
• výška vnitřní části vodoměrné šachty bez vstupního komínku 1 800 mm
• výška vstupního komínku 300 mm, rozměr 600 x 600 mm
Vnější rozměry vodoměrné šachty:
• délka 1 500 mm
• šířka 1 200 mm
• výška 2 108 mm (vnějšího dvoupláště)
• celková výška vodoměrné šachty včetně vstupního komínku 2 258 mm
Hmotnost: 500 kg
V ceně je:
• vodoměrná šachta včetně vstupního komínku
• vodotěsné prostupy ... dimenze bude dopřesněna dle skutečnosti, 2 ks
• vstupní plastový žebřík
• vnitřní plastové víko
POKLOP K VODOMĚRNÉ ŠACHTĚ 
Kompozitový uzamykatelný poklop, pojezdový pro ososbní auto, tř. zatížení B 125.
Uzamykání na imbusový klíč.
Rozměr poklopu 600 x 600 mm.</t>
  </si>
  <si>
    <t>158</t>
  </si>
  <si>
    <t>283VD</t>
  </si>
  <si>
    <t>Plastová šachta rozvodu vody včetně ventilu</t>
  </si>
  <si>
    <t>kompletní dodávka plastové šachty pro rozvod vody, včetně ventilu, poklopu a příslušenství. Šachta d273mm, 2x ventil - 1"</t>
  </si>
  <si>
    <t>159</t>
  </si>
  <si>
    <t>28613086.M</t>
  </si>
  <si>
    <t>Elektroredukce d  63- 40 mm PE 100</t>
  </si>
  <si>
    <t xml:space="preserve">elektrotvarovka, SDR 11, 10 bar plyn/ 16 bar voda integrovaný držák  </t>
  </si>
  <si>
    <t>160</t>
  </si>
  <si>
    <t>28613123.M</t>
  </si>
  <si>
    <t>Elektro T-kus KIT d 40 mm rovnoramenný PE100 SDR11</t>
  </si>
  <si>
    <t xml:space="preserve">10 bar plyn/ 16 bar voda integrovaný držák  </t>
  </si>
  <si>
    <t>161</t>
  </si>
  <si>
    <t>28613181 M</t>
  </si>
  <si>
    <t>T kus 90° redukovaný d 90- 63 PE 100 SDR 11</t>
  </si>
  <si>
    <t>6+1</t>
  </si>
  <si>
    <t xml:space="preserve">10 bar plyn/ 16 bar voda, pro svařování na tupo s prodlouženými hrdly, lze svařovat elektrotvarovkami  </t>
  </si>
  <si>
    <t>162</t>
  </si>
  <si>
    <t>286134114</t>
  </si>
  <si>
    <t>Trubka tlaková RC1 PE100 40x3,7 mm PN16</t>
  </si>
  <si>
    <t>115+6</t>
  </si>
  <si>
    <t>;ztratné 10%; 12,1</t>
  </si>
  <si>
    <t xml:space="preserve">RC1-040037/100  Vodovodní PE tlaková trubka RC1 dle normy EN 12 201-2 Jednovrstvá - celý průřez stěny z PE 100RC Černá s modrými pruhy (doprava pitné a užitkové vody)  Použití: vhodná do otevřeného výkopu bez pískového lože (možnost bodového zatížení)  a pro méně náročné metody bezvýkopové pokládky  Návin 100 </t>
  </si>
  <si>
    <t>163</t>
  </si>
  <si>
    <t>286134122</t>
  </si>
  <si>
    <t>Trubka tlaková RC1 PE100 63x5,8 mm PN16</t>
  </si>
  <si>
    <t>;ztratné 10%; 5,7</t>
  </si>
  <si>
    <t xml:space="preserve">RC1-063058/100  Vodovodní PE tlaková trubka RC1 dle normy EN 12 201-2 Jednovrstvá - celý průřez stěny z PE 100RC Černá s modrými pruhy (doprava pitné a užitkové vody)  Použití: vhodná do otevřeného výkopu bez pískového lože (možnost bodového zatížení)  a pro méně náročné metody bezvýkopové pokládky  Návin 100 </t>
  </si>
  <si>
    <t>164</t>
  </si>
  <si>
    <t>286134130</t>
  </si>
  <si>
    <t>Trubka tlaková RC1 PE100 90x8,2 mm PN16</t>
  </si>
  <si>
    <t xml:space="preserve">RC1-090082/100  Vodovodní PE tlaková trubka RC1 dle normy EN 12 201-2 Jednovrstvá - celý průřez stěny z PE 100RC Černá s modrými pruhy (doprava pitné a užitkové vody)  Použití: vhodná do otevřeného výkopu bez pískového lože (možnost bodového zatížení)  a pro méně náročné metody bezvýkopové pokládky  Návin 100 </t>
  </si>
  <si>
    <t>165</t>
  </si>
  <si>
    <t>286538093</t>
  </si>
  <si>
    <t>Elektrotvarovka - koleno 90°  d40</t>
  </si>
  <si>
    <t>Elektrotvarovka - koleno 90°  odkrytá topná spirála široké svařovací zóny, dlouhé studené zóny svařování bez použití fixačních držáků indikátor vizuální kontroly svařování čárový kód pro plně automatický svařovací proces  maximální provozní tlak 16 barů (voda)/ 10 barů (plyn</t>
  </si>
  <si>
    <t>166</t>
  </si>
  <si>
    <t>286538095</t>
  </si>
  <si>
    <t>Elektrotvarovka - koleno 90°  d63</t>
  </si>
  <si>
    <t>167</t>
  </si>
  <si>
    <t>286538097</t>
  </si>
  <si>
    <t>Elektrotvarovka - koleno 90°  d90</t>
  </si>
  <si>
    <t>168</t>
  </si>
  <si>
    <t>286538166</t>
  </si>
  <si>
    <t>Elektrotvarovka - T-kus  d90/40</t>
  </si>
  <si>
    <t>Elektrotvarovka - T-kus navrtávací odbočkový s prodlouženým hrdlem s redukcí MR (d 63/50, d 63/40)  odbočková část na tupo, prodloužená pro možnost opakovaného svaření klíč pro navrtání SW 17 bezúnikové a beztřískové navrtání za tlaku do 10 barů (plyn) nebo 16 barů (voda) integrovaný vrták s horním a spodním dorazem pro správné navrtání  100% průchod do odbočky oblast navrtání ve studené zóně, navrtávat po vychladnutí spoje snadné upnutí na trubku bez použití nářadí upínací mechanismus RedSnap kompenzuje nerovnosti na trubce včetně ovality či expanze dané vysokým provozním tlakem uzavírací zátka s těsnicím O-kroužkem možnost bezpečnostního zaslepení domku navrtávky konstrukce umožňuje provedení tlakové zkoušky domovní přípojky před navrtání</t>
  </si>
  <si>
    <t>169</t>
  </si>
  <si>
    <t>55118008</t>
  </si>
  <si>
    <t>Souprava vodoměrná 1"-1"</t>
  </si>
  <si>
    <t xml:space="preserve">závitové připojení vodoměr  1" souprava  1"  Pro studenou vodu - PN- 10 Pro domovní vodoměry Qn 2,5 m3/hod. a Qn 1,5 m3/hod. Možnost zaplombování vstupního šroubení a filtru  Provedení: Držák vodoměru  nerezocel 1.4301 Armatury  pocínovaná mosaz  Přestavením šroubení je možno změnit stavební délku pro montáž vodoměrů na 165 - 190 mm!  Součástí dodávky jsou: •hmoždinky a šrouby pro upevnění na zeď  •těsnění k připojení vodoměru  •uzemňovací šroub s matkou a podložkou  </t>
  </si>
  <si>
    <t>170</t>
  </si>
  <si>
    <t>673909991034</t>
  </si>
  <si>
    <t>Fólie výstražná šířka 34 cm modrá síťovina</t>
  </si>
  <si>
    <t>111+6+48+104+6</t>
  </si>
  <si>
    <t>171</t>
  </si>
  <si>
    <t>SO03_Â _</t>
  </si>
  <si>
    <t>172</t>
  </si>
  <si>
    <t xml:space="preserve">Část projektové práce obsahuje položky:
- dokumentace skutečného provedení
- zhotovitelská dokumentace</t>
  </si>
  <si>
    <t>173</t>
  </si>
  <si>
    <t>SO04_1_</t>
  </si>
  <si>
    <t>SO04_</t>
  </si>
  <si>
    <t>240</t>
  </si>
  <si>
    <t>174</t>
  </si>
  <si>
    <t>119001421R00</t>
  </si>
  <si>
    <t>Dočasné zajištění kabelů - do počtu 3 kabelů</t>
  </si>
  <si>
    <t>Položka se použije i pro zajištění kabelových tratí z volně ložených kabelů.</t>
  </si>
  <si>
    <t>175</t>
  </si>
  <si>
    <t>Zásyp jam,rýh a šachet pískem</t>
  </si>
  <si>
    <t>dovoz písku ze vzdálenosti 15 km</t>
  </si>
  <si>
    <t>6,25</t>
  </si>
  <si>
    <t>176</t>
  </si>
  <si>
    <t>199000005R00</t>
  </si>
  <si>
    <t>Poplatek za skládku zeminy 1- 4, č. dle katal. odpadů 17 05 04</t>
  </si>
  <si>
    <t>6,25*1,8</t>
  </si>
  <si>
    <t>M21</t>
  </si>
  <si>
    <t>Elektromontáže</t>
  </si>
  <si>
    <t>177</t>
  </si>
  <si>
    <t>210220401vd</t>
  </si>
  <si>
    <t>štítky na krabice, zásuvky a spínače</t>
  </si>
  <si>
    <t>M21_</t>
  </si>
  <si>
    <t>SO04_9_</t>
  </si>
  <si>
    <t>včetně dodávky štítku</t>
  </si>
  <si>
    <t>M22</t>
  </si>
  <si>
    <t>Montáže sdělovací a zabezpečovací techniky</t>
  </si>
  <si>
    <t>178</t>
  </si>
  <si>
    <t>220vrt-01</t>
  </si>
  <si>
    <t>Vrtání otvoru v konstrukci D 100 mm</t>
  </si>
  <si>
    <t>M22_</t>
  </si>
  <si>
    <t>179</t>
  </si>
  <si>
    <t>222300671vd</t>
  </si>
  <si>
    <t>Protipožární prostup na kabel.vedení</t>
  </si>
  <si>
    <t>180</t>
  </si>
  <si>
    <t>229880062vd</t>
  </si>
  <si>
    <t>Demontáž zásuvky 400V</t>
  </si>
  <si>
    <t>M46</t>
  </si>
  <si>
    <t>Zemní práce při montážích</t>
  </si>
  <si>
    <t>181</t>
  </si>
  <si>
    <t>460010024RT1</t>
  </si>
  <si>
    <t>Vytýčení kabelové trasy v zastavěném prostoru</t>
  </si>
  <si>
    <t>km</t>
  </si>
  <si>
    <t>M46_</t>
  </si>
  <si>
    <t>délka trasy do 100 m</t>
  </si>
  <si>
    <t>0,085</t>
  </si>
  <si>
    <t>182</t>
  </si>
  <si>
    <t>460200163RT2</t>
  </si>
  <si>
    <t>Výkop kabelové rýhy 35/80 cm  hor.3</t>
  </si>
  <si>
    <t>ruční výkop rýhy</t>
  </si>
  <si>
    <t>183</t>
  </si>
  <si>
    <t>460200303RT2</t>
  </si>
  <si>
    <t>Výkop kabelové rýhy 50/120 cm hor.3</t>
  </si>
  <si>
    <t>184</t>
  </si>
  <si>
    <t>460490012RT1</t>
  </si>
  <si>
    <t>Fólie výstražná z PVC, šířka 33 cm</t>
  </si>
  <si>
    <t>fólie PVC šířka 33 cm</t>
  </si>
  <si>
    <t>185</t>
  </si>
  <si>
    <t>460570263R00</t>
  </si>
  <si>
    <t>Zához rýhy 50/80 cm, hornina třídy 3, se zhutněním</t>
  </si>
  <si>
    <t>186</t>
  </si>
  <si>
    <t>460570303R00</t>
  </si>
  <si>
    <t>Zához rýhy 50/120 cm, hornina tř. 3, se zhutněním</t>
  </si>
  <si>
    <t>187</t>
  </si>
  <si>
    <t>460600001RT8</t>
  </si>
  <si>
    <t>Naložení a odvoz zeminy</t>
  </si>
  <si>
    <t>odvoz na vzdálenost 10000 m</t>
  </si>
  <si>
    <t>188</t>
  </si>
  <si>
    <t>460600002R00</t>
  </si>
  <si>
    <t>Příplatek za odvoz za každých dalších 1000 m</t>
  </si>
  <si>
    <t>5*6,25</t>
  </si>
  <si>
    <t>M65</t>
  </si>
  <si>
    <t>Elektroinstalace - včetně montáže a zapojení</t>
  </si>
  <si>
    <t>189</t>
  </si>
  <si>
    <t>65001-0001</t>
  </si>
  <si>
    <t>lišta 60x40mm, včetně víka, včetně ukotvení</t>
  </si>
  <si>
    <t>M65_</t>
  </si>
  <si>
    <t>Montáž elektroinstalačních lišt vkládacích, hranatých, zaklapávacích atd. a příslušenství k lištám (rohy, odbočky, zakončení atd.)</t>
  </si>
  <si>
    <t>190</t>
  </si>
  <si>
    <t>65001-0002</t>
  </si>
  <si>
    <t>trubka ohebná dvouplášťová korugovaná červená Kopoflex, PVC o 110/94mm (dn/di), vč. uložení</t>
  </si>
  <si>
    <t>191</t>
  </si>
  <si>
    <t>65001-0003</t>
  </si>
  <si>
    <t>zatahovací vodič</t>
  </si>
  <si>
    <t>192</t>
  </si>
  <si>
    <t>65003-0001</t>
  </si>
  <si>
    <t>RS - STÁVAJÍCÍ ROZVADĚČ SKLADU</t>
  </si>
  <si>
    <t xml:space="preserve">úprava zapojení stávajícího rozvaděče, doplnění
1x jistič B/3-20A, 1x jistič B/1-16A, 1x jistič B/1-10A, 1x proudový chránič 25A/4p/0,03A</t>
  </si>
  <si>
    <t>193</t>
  </si>
  <si>
    <t>65003-0002</t>
  </si>
  <si>
    <t>RDOS - ROZVADĚČ DÁLKOVÉHO OVLÁDÁNÍ A SIGNALIZACE</t>
  </si>
  <si>
    <t>IP40/20, celoplastový, nástěnný, modulový, 600/400/150 (v/š/hl), 1x hlavní vypínač 20A/1f, 1x jistič B/1-6A, 2x přepínač 16A, 1x kontrola žlutá, 1x kontrola zelená, 3x kontrola červená, vývodky</t>
  </si>
  <si>
    <t>194</t>
  </si>
  <si>
    <t>65003-0003</t>
  </si>
  <si>
    <t>RCS2P - ROZVADĚČ PRO ŘÍZENÍ ČERPADEL - DODÁVKOU TECHNOLOGIE ČERPÁNÍ</t>
  </si>
  <si>
    <t>DODÁVKOU TECHNOLOGIE ČERPÁNÍ</t>
  </si>
  <si>
    <t>195</t>
  </si>
  <si>
    <t>650034615vd</t>
  </si>
  <si>
    <t>kabelový vývod pro technologie, ukončení a zapojení</t>
  </si>
  <si>
    <t>196</t>
  </si>
  <si>
    <t>65005-0001</t>
  </si>
  <si>
    <t>Nerezový zásuvkový sloupek</t>
  </si>
  <si>
    <t>2x 250V/16A, IP44, rozměry: 100/100/500mm (délka/šířka/výška), včetně svorkovnice uvnitř sloupku, kompletní</t>
  </si>
  <si>
    <t>197</t>
  </si>
  <si>
    <t>650122621RT2</t>
  </si>
  <si>
    <t>vodič pro pospojování</t>
  </si>
  <si>
    <t>včetně dodávky vodiče CY 16 mm2</t>
  </si>
  <si>
    <t>198</t>
  </si>
  <si>
    <t>650124141RT2</t>
  </si>
  <si>
    <t>Uložení kabelu Cu 3 x 1,5 mm2 pevně</t>
  </si>
  <si>
    <t>včetně dodávky kabelu CYKY-J 3 x 1,5 mm2</t>
  </si>
  <si>
    <t>199</t>
  </si>
  <si>
    <t>650124143RT2</t>
  </si>
  <si>
    <t>Uložení kabelu Cu 3 x 2,5 mm2 pevně</t>
  </si>
  <si>
    <t>včetně dodávky kabelu CYKY-J 3 x 2,5 mm2</t>
  </si>
  <si>
    <t>200</t>
  </si>
  <si>
    <t>650124261RT2</t>
  </si>
  <si>
    <t>Uložení kabelu Cu 5 x 1,5 mm2 pevně</t>
  </si>
  <si>
    <t>včetně dodávky kabelu CYKY-O 5 x 1,5 mm2</t>
  </si>
  <si>
    <t>210</t>
  </si>
  <si>
    <t>201</t>
  </si>
  <si>
    <t>650124267RT2</t>
  </si>
  <si>
    <t>Uložení kabelu Cu 5 x 6 mm2 pevně</t>
  </si>
  <si>
    <t>včetně dodávky kabelu CYKY-J 5 x 6 mm2</t>
  </si>
  <si>
    <t>202</t>
  </si>
  <si>
    <t>650124331R00</t>
  </si>
  <si>
    <t>Uložení kabelu Cu 12 x 1,5 mm2 pevně</t>
  </si>
  <si>
    <t>včetně dodávky kabelu CYKY-J 12 x 1,5 mm2</t>
  </si>
  <si>
    <t>203</t>
  </si>
  <si>
    <t>65051-0001</t>
  </si>
  <si>
    <t>Revize elektro zařízení</t>
  </si>
  <si>
    <t>204</t>
  </si>
  <si>
    <t>650-001VD</t>
  </si>
  <si>
    <t>pomocný instalační materiál</t>
  </si>
  <si>
    <t>SO04_Z_</t>
  </si>
  <si>
    <t>205</t>
  </si>
  <si>
    <t>650-002VD</t>
  </si>
  <si>
    <t>koordinace ostatních profesí během stavby</t>
  </si>
  <si>
    <t>hod</t>
  </si>
  <si>
    <t>206</t>
  </si>
  <si>
    <t>SO04_Â _</t>
  </si>
  <si>
    <t>207</t>
  </si>
  <si>
    <t xml:space="preserve">Část projektové práce obsahuje položky:
- dokumentace skutečného provedení
</t>
  </si>
  <si>
    <t>07VRN</t>
  </si>
  <si>
    <t>208</t>
  </si>
  <si>
    <t>072002VRN</t>
  </si>
  <si>
    <t>Silniční provoz - DIO, DIR a dopravní značení</t>
  </si>
  <si>
    <t>07VRN_</t>
  </si>
  <si>
    <t>SO05_Â _</t>
  </si>
  <si>
    <t>SO05_</t>
  </si>
  <si>
    <t>dopravní značení během stavby, vyřízení k povolení ke sjezdu a poplatky</t>
  </si>
  <si>
    <t>09VRN</t>
  </si>
  <si>
    <t>209</t>
  </si>
  <si>
    <t>090001VRN</t>
  </si>
  <si>
    <t>09VRN_</t>
  </si>
  <si>
    <t xml:space="preserve">Ochrana stávajícíhio vjezdu a komunikací dle podmínek BKOM (silniční ochranné panely, pryžové klíny....)
Odstranění znečištění komunikačních ploch
Případné opravy zpevněných ploch (příjezdová trasa) - uvedení do původního stavu</t>
  </si>
</sst>
</file>

<file path=xl/styles.xml><?xml version="1.0" encoding="utf-8"?>
<styleSheet xmlns="http://schemas.openxmlformats.org/spreadsheetml/2006/main">
  <numFmts count="0"/>
  <fonts count="13">
    <font>
      <sz val="11"/>
      <name val="Calibri"/>
      <charset val="1"/>
    </font>
    <font>
      <color rgb="FF000000"/>
      <sz val="18"/>
      <name val="Arial"/>
      <charset val="238"/>
    </font>
    <font>
      <color rgb="FF000000"/>
      <sz val="10"/>
      <name val="Arial"/>
      <charset val="238"/>
    </font>
    <font>
      <color rgb="FF000000"/>
      <sz val="10"/>
      <name val="Arial"/>
      <charset val="238"/>
      <b/>
    </font>
    <font>
      <color rgb="FF000000"/>
      <sz val="18"/>
      <name val="Arial"/>
      <charset val="238"/>
      <b/>
    </font>
    <font>
      <color rgb="FF000000"/>
      <sz val="20"/>
      <name val="Arial"/>
      <charset val="238"/>
      <b/>
    </font>
    <font>
      <color rgb="FF000000"/>
      <sz val="11"/>
      <name val="Arial"/>
      <charset val="238"/>
      <b/>
    </font>
    <font>
      <color rgb="FF000000"/>
      <sz val="12"/>
      <name val="Arial"/>
      <charset val="238"/>
      <b/>
    </font>
    <font>
      <color rgb="FF000000"/>
      <sz val="12"/>
      <name val="Arial"/>
      <charset val="238"/>
    </font>
    <font>
      <color rgb="FF000000"/>
      <sz val="8"/>
      <name val="Arial"/>
      <charset val="238"/>
      <i/>
    </font>
    <font>
      <color rgb="FF000000"/>
      <sz val="10"/>
      <name val="Arial"/>
      <charset val="238"/>
      <i/>
    </font>
    <font>
      <color rgb="FF000080"/>
      <sz val="10"/>
      <name val="Arial"/>
      <charset val="238"/>
    </font>
    <font>
      <color rgb="FF000080"/>
      <sz val="10"/>
      <name val="Arial"/>
      <charset val="238"/>
      <i/>
    </font>
  </fonts>
  <fills count="3">
    <fill>
      <patternFill patternType="none"/>
    </fill>
    <fill>
      <patternFill patternType="gray125"/>
    </fill>
    <fill>
      <patternFill patternType="solid">
        <fgColor rgb="FFC0C0C0"/>
        <bgColor rgb="FFC0C0C0"/>
      </patternFill>
    </fill>
  </fills>
  <borders count="7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style="thin">
        <color rgb="FF000000"/>
      </right>
      <top/>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bottom style="medium">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bottom/>
      <diagonal/>
    </border>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top/>
      <bottom/>
      <diagonal/>
    </border>
    <border>
      <left/>
      <right style="thin">
        <color rgb="FF000000"/>
      </right>
      <top/>
      <bottom/>
      <diagonal/>
    </border>
    <border>
      <left style="medium">
        <color rgb="FF000000"/>
      </left>
      <right style="thin">
        <color rgb="FF000000"/>
      </right>
      <top style="medium">
        <color rgb="FF000000"/>
      </top>
      <bottom/>
      <diagonal/>
    </border>
    <border>
      <left/>
      <right/>
      <top style="medium">
        <color rgb="FF000000"/>
      </top>
      <bottom/>
      <diagonal/>
    </border>
    <border>
      <left/>
      <right/>
      <top style="medium">
        <color rgb="FF000000"/>
      </top>
      <bottom/>
      <diagonal/>
    </border>
    <border>
      <left style="medium">
        <color rgb="FF000000"/>
      </left>
      <right style="thin">
        <color rgb="FF000000"/>
      </right>
      <top/>
      <bottom style="medium">
        <color rgb="FF000000"/>
      </bottom>
      <diagonal/>
    </border>
    <border>
      <left/>
      <right/>
      <top/>
      <bottom style="medium">
        <color rgb="FF000000"/>
      </bottom>
      <diagonal/>
    </border>
    <border>
      <left/>
      <right/>
      <top/>
      <bottom style="medium">
        <color rgb="FF000000"/>
      </bottom>
      <diagonal/>
    </border>
    <border>
      <left style="medium">
        <color rgb="FF000000"/>
      </left>
      <right style="thin">
        <color rgb="FF000000"/>
      </right>
      <top/>
      <bottom style="medium">
        <color rgb="FF000000"/>
      </bottom>
      <diagonal/>
    </border>
    <border>
      <left/>
      <right style="medium">
        <color rgb="FF000000"/>
      </right>
      <top/>
      <bottom style="medium">
        <color rgb="FF000000"/>
      </bottom>
      <diagonal/>
    </border>
    <border>
      <left style="thin">
        <color rgb="FF000000"/>
      </left>
      <right/>
      <top/>
      <bottom/>
      <diagonal/>
    </border>
    <border>
      <left/>
      <right style="thin">
        <color rgb="FF000000"/>
      </right>
      <top/>
      <bottom/>
      <diagonal/>
    </border>
    <border>
      <left/>
      <right/>
      <top/>
      <bottom/>
      <diagonal/>
    </border>
    <border>
      <left/>
      <right/>
      <top/>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bottom style="medium">
        <color rgb="FF000000"/>
      </bottom>
      <diagonal/>
    </border>
  </borders>
  <cellStyleXfs count="1">
    <xf borderId="0" fillId="0" fontId="0" numFmtId="0"/>
  </cellStyleXfs>
  <cellXfs count="170">
    <xf applyAlignment="true" applyBorder="true" applyFill="true" applyNumberFormat="true" applyFont="true" applyProtection="true" borderId="0" fillId="0" fontId="0" numFmtId="0" xfId="0">
      <alignment horizontal="general" vertical="bottom" textRotation="0" shrinkToFit="false" wrapText="false"/>
      <protection hidden="false" locked="true"/>
    </xf>
    <xf applyAlignment="true" applyBorder="true" applyFill="true" applyNumberFormat="true" applyFont="true" applyProtection="true" borderId="1" fillId="0" fontId="1" numFmtId="0" xfId="0">
      <alignment horizontal="center" vertical="center" textRotation="0" shrinkToFit="false" wrapText="true"/>
      <protection hidden="false" locked="true"/>
    </xf>
    <xf applyAlignment="true" applyBorder="true" applyFill="true" applyNumberFormat="true" applyFont="true" applyProtection="true" borderId="1" fillId="0" fontId="1" numFmtId="0" xfId="0">
      <alignment horizontal="center" vertical="center" textRotation="0" shrinkToFit="false" wrapText="false"/>
      <protection hidden="false" locked="true"/>
    </xf>
    <xf applyAlignment="true" applyBorder="true" applyFill="true" applyNumberFormat="true" applyFont="true" applyProtection="true" borderId="2" fillId="0" fontId="2" numFmtId="0" xfId="0">
      <alignment horizontal="left" vertical="center" textRotation="0" shrinkToFit="false" wrapText="true"/>
      <protection hidden="false" locked="true"/>
    </xf>
    <xf applyAlignment="true" applyBorder="true" applyFill="true" applyNumberFormat="true" applyFont="true" applyProtection="true" borderId="3" fillId="0" fontId="2" numFmtId="0" xfId="0">
      <alignment horizontal="left" vertical="center" textRotation="0" shrinkToFit="false" wrapText="false"/>
      <protection hidden="false" locked="true"/>
    </xf>
    <xf applyAlignment="true" applyBorder="true" applyFill="true" applyNumberFormat="true" applyFont="true" applyProtection="true" borderId="3" fillId="0" fontId="3" numFmtId="0" xfId="0">
      <alignment horizontal="left" vertical="center" textRotation="0" shrinkToFit="false" wrapText="true"/>
      <protection hidden="false" locked="true"/>
    </xf>
    <xf applyAlignment="true" applyBorder="true" applyFill="true" applyNumberFormat="true" applyFont="true" applyProtection="true" borderId="3" fillId="0" fontId="3" numFmtId="0" xfId="0">
      <alignment horizontal="left" vertical="center" textRotation="0" shrinkToFit="false" wrapText="false"/>
      <protection hidden="false" locked="true"/>
    </xf>
    <xf applyAlignment="true" applyBorder="true" applyFill="true" applyNumberFormat="true" applyFont="true" applyProtection="true" borderId="3" fillId="0" fontId="2" numFmtId="0" xfId="0">
      <alignment horizontal="left" vertical="center" textRotation="0" shrinkToFit="false" wrapText="true"/>
      <protection hidden="false" locked="true"/>
    </xf>
    <xf applyAlignment="true" applyBorder="true" applyFill="true" applyNumberFormat="true" applyFont="true" applyProtection="true" borderId="4" fillId="0" fontId="2" numFmtId="0" xfId="0">
      <alignment horizontal="left" vertical="center" textRotation="0" shrinkToFit="false" wrapText="false"/>
      <protection hidden="false" locked="true"/>
    </xf>
    <xf applyAlignment="true" applyBorder="true" applyFill="true" applyNumberFormat="true" applyFont="true" applyProtection="true" borderId="5" fillId="0" fontId="2" numFmtId="0" xfId="0">
      <alignment horizontal="left" vertical="center" textRotation="0" shrinkToFit="false" wrapText="false"/>
      <protection hidden="false" locked="true"/>
    </xf>
    <xf applyAlignment="true" applyBorder="true" applyFill="true" applyNumberFormat="true" applyFont="true" applyProtection="true" borderId="0" fillId="0" fontId="2" numFmtId="0" xfId="0">
      <alignment horizontal="left" vertical="center" textRotation="0" shrinkToFit="false" wrapText="false"/>
      <protection hidden="false" locked="true"/>
    </xf>
    <xf applyAlignment="true" applyBorder="true" applyFill="true" applyNumberFormat="true" applyFont="true" applyProtection="true" borderId="0" fillId="0" fontId="3" numFmtId="0" xfId="0">
      <alignment horizontal="left" vertical="center" textRotation="0" shrinkToFit="false" wrapText="false"/>
      <protection hidden="false" locked="true"/>
    </xf>
    <xf applyAlignment="true" applyBorder="true" applyFill="true" applyNumberFormat="true" applyFont="true" applyProtection="true" borderId="6" fillId="0" fontId="2" numFmtId="0" xfId="0">
      <alignment horizontal="left" vertical="center" textRotation="0" shrinkToFit="false" wrapText="false"/>
      <protection hidden="false" locked="true"/>
    </xf>
    <xf applyAlignment="true" applyBorder="true" applyFill="true" applyNumberFormat="true" applyFont="true" applyProtection="true" borderId="5" fillId="0" fontId="2" numFmtId="0" xfId="0">
      <alignment horizontal="left" vertical="center" textRotation="0" shrinkToFit="false" wrapText="true"/>
      <protection hidden="false" locked="true"/>
    </xf>
    <xf applyAlignment="true" applyBorder="true" applyFill="true" applyNumberFormat="true" applyFont="true" applyProtection="true" borderId="0" fillId="0" fontId="2" numFmtId="0" xfId="0">
      <alignment horizontal="left" vertical="center" textRotation="0" shrinkToFit="false" wrapText="true"/>
      <protection hidden="false" locked="true"/>
    </xf>
    <xf applyAlignment="true" applyBorder="true" applyFill="true" applyNumberFormat="true" applyFont="true" applyProtection="true" borderId="6" fillId="0" fontId="2" numFmtId="1" xfId="0">
      <alignment horizontal="left" vertical="center" textRotation="0" shrinkToFit="false" wrapText="false"/>
      <protection hidden="false" locked="true"/>
    </xf>
    <xf applyAlignment="true" applyBorder="true" applyFill="true" applyNumberFormat="true" applyFont="true" applyProtection="true" borderId="6" fillId="0" fontId="2" numFmtId="0" xfId="0">
      <alignment horizontal="left" vertical="center" textRotation="0" shrinkToFit="false" wrapText="true"/>
      <protection hidden="false" locked="true"/>
    </xf>
    <xf applyAlignment="true" applyBorder="true" applyFill="true" applyNumberFormat="true" applyFont="true" applyProtection="true" borderId="7" fillId="0" fontId="2" numFmtId="0" xfId="0">
      <alignment horizontal="left" vertical="center" textRotation="0" shrinkToFit="false" wrapText="false"/>
      <protection hidden="false" locked="true"/>
    </xf>
    <xf applyAlignment="true" applyBorder="true" applyFill="true" applyNumberFormat="true" applyFont="true" applyProtection="true" borderId="8" fillId="0" fontId="2" numFmtId="0" xfId="0">
      <alignment horizontal="left" vertical="center" textRotation="0" shrinkToFit="false" wrapText="false"/>
      <protection hidden="false" locked="true"/>
    </xf>
    <xf applyAlignment="true" applyBorder="true" applyFill="true" applyNumberFormat="true" applyFont="true" applyProtection="true" borderId="9" fillId="0" fontId="2" numFmtId="0" xfId="0">
      <alignment horizontal="left" vertical="center" textRotation="0" shrinkToFit="false" wrapText="false"/>
      <protection hidden="false" locked="true"/>
    </xf>
    <xf applyAlignment="true" applyBorder="true" applyFill="true" applyNumberFormat="true" applyFont="true" applyProtection="true" borderId="10" fillId="0" fontId="4" numFmtId="0" xfId="0">
      <alignment horizontal="center" vertical="center" textRotation="0" shrinkToFit="false" wrapText="false"/>
      <protection hidden="false" locked="true"/>
    </xf>
    <xf applyAlignment="true" applyBorder="true" applyFill="true" applyNumberFormat="true" applyFont="true" applyProtection="true" borderId="11" fillId="2" fontId="5" numFmtId="0" xfId="0">
      <alignment horizontal="center" vertical="center" textRotation="0" shrinkToFit="false" wrapText="false"/>
      <protection hidden="false" locked="true"/>
    </xf>
    <xf applyAlignment="true" applyBorder="true" applyFill="true" applyNumberFormat="true" applyFont="true" applyProtection="true" borderId="12" fillId="0" fontId="6" numFmtId="0" xfId="0">
      <alignment horizontal="left" vertical="center" textRotation="0" shrinkToFit="false" wrapText="false"/>
      <protection hidden="false" locked="true"/>
    </xf>
    <xf applyAlignment="true" applyBorder="true" applyFill="true" applyNumberFormat="true" applyFont="true" applyProtection="true" borderId="13" fillId="0" fontId="6" numFmtId="0" xfId="0">
      <alignment horizontal="left" vertical="center" textRotation="0" shrinkToFit="false" wrapText="false"/>
      <protection hidden="false" locked="true"/>
    </xf>
    <xf applyAlignment="true" applyBorder="true" applyFill="true" applyNumberFormat="true" applyFont="true" applyProtection="true" borderId="14" fillId="2" fontId="5" numFmtId="0" xfId="0">
      <alignment horizontal="center" vertical="center" textRotation="0" shrinkToFit="false" wrapText="false"/>
      <protection hidden="false" locked="true"/>
    </xf>
    <xf applyAlignment="true" applyBorder="true" applyFill="true" applyNumberFormat="true" applyFont="true" applyProtection="true" borderId="15" fillId="0" fontId="7" numFmtId="0" xfId="0">
      <alignment horizontal="left" vertical="center" textRotation="0" shrinkToFit="false" wrapText="false"/>
      <protection hidden="false" locked="true"/>
    </xf>
    <xf applyAlignment="true" applyBorder="true" applyFill="true" applyNumberFormat="true" applyFont="true" applyProtection="true" borderId="16" fillId="0" fontId="8" numFmtId="0" xfId="0">
      <alignment horizontal="left" vertical="center" textRotation="0" shrinkToFit="false" wrapText="false"/>
      <protection hidden="false" locked="true"/>
    </xf>
    <xf applyAlignment="true" applyBorder="true" applyFill="true" applyNumberFormat="true" applyFont="true" applyProtection="true" borderId="16" fillId="0" fontId="8" numFmtId="4" xfId="0">
      <alignment horizontal="right" vertical="center" textRotation="0" shrinkToFit="false" wrapText="false"/>
      <protection hidden="false" locked="true"/>
    </xf>
    <xf applyAlignment="true" applyBorder="true" applyFill="true" applyNumberFormat="true" applyFont="true" applyProtection="true" borderId="17" fillId="0" fontId="8" numFmtId="0" xfId="0">
      <alignment horizontal="left" vertical="center" textRotation="0" shrinkToFit="false" wrapText="false"/>
      <protection hidden="false" locked="true"/>
    </xf>
    <xf applyAlignment="true" applyBorder="true" applyFill="true" applyNumberFormat="true" applyFont="true" applyProtection="true" borderId="18" fillId="0" fontId="8" numFmtId="0" xfId="0">
      <alignment horizontal="left" vertical="center" textRotation="0" shrinkToFit="false" wrapText="false"/>
      <protection hidden="false" locked="true"/>
    </xf>
    <xf applyAlignment="true" applyBorder="true" applyFill="true" applyNumberFormat="true" applyFont="true" applyProtection="true" borderId="16" fillId="0" fontId="8" numFmtId="0" xfId="0">
      <alignment horizontal="right" vertical="center" textRotation="0" shrinkToFit="false" wrapText="false"/>
      <protection hidden="false" locked="true"/>
    </xf>
    <xf applyAlignment="true" applyBorder="true" applyFill="true" applyNumberFormat="true" applyFont="true" applyProtection="true" borderId="19" fillId="0" fontId="7" numFmtId="0" xfId="0">
      <alignment horizontal="left" vertical="center" textRotation="0" shrinkToFit="false" wrapText="false"/>
      <protection hidden="false" locked="true"/>
    </xf>
    <xf applyAlignment="true" applyBorder="true" applyFill="true" applyNumberFormat="true" applyFont="true" applyProtection="true" borderId="20" fillId="0" fontId="7" numFmtId="0" xfId="0">
      <alignment horizontal="left" vertical="center" textRotation="0" shrinkToFit="false" wrapText="false"/>
      <protection hidden="false" locked="true"/>
    </xf>
    <xf applyAlignment="true" applyBorder="true" applyFill="true" applyNumberFormat="true" applyFont="true" applyProtection="true" borderId="18" fillId="0" fontId="7" numFmtId="0" xfId="0">
      <alignment horizontal="left" vertical="center" textRotation="0" shrinkToFit="false" wrapText="false"/>
      <protection hidden="false" locked="true"/>
    </xf>
    <xf applyAlignment="true" applyBorder="true" applyFill="true" applyNumberFormat="true" applyFont="true" applyProtection="true" borderId="21" fillId="0" fontId="7" numFmtId="0" xfId="0">
      <alignment horizontal="left" vertical="center" textRotation="0" shrinkToFit="false" wrapText="false"/>
      <protection hidden="false" locked="true"/>
    </xf>
    <xf applyAlignment="true" applyBorder="true" applyFill="true" applyNumberFormat="true" applyFont="true" applyProtection="true" borderId="22" fillId="0" fontId="7" numFmtId="0" xfId="0">
      <alignment horizontal="left" vertical="center" textRotation="0" shrinkToFit="false" wrapText="false"/>
      <protection hidden="false" locked="true"/>
    </xf>
    <xf applyAlignment="true" applyBorder="true" applyFill="true" applyNumberFormat="true" applyFont="true" applyProtection="true" borderId="23" fillId="0" fontId="8" numFmtId="4" xfId="0">
      <alignment horizontal="right" vertical="center" textRotation="0" shrinkToFit="false" wrapText="false"/>
      <protection hidden="false" locked="true"/>
    </xf>
    <xf applyAlignment="true" applyBorder="true" applyFill="true" applyNumberFormat="true" applyFont="true" applyProtection="true" borderId="24" fillId="0" fontId="8" numFmtId="0" xfId="0">
      <alignment horizontal="left" vertical="center" textRotation="0" shrinkToFit="false" wrapText="false"/>
      <protection hidden="false" locked="true"/>
    </xf>
    <xf applyAlignment="true" applyBorder="true" applyFill="true" applyNumberFormat="true" applyFont="true" applyProtection="true" borderId="22" fillId="0" fontId="8" numFmtId="0" xfId="0">
      <alignment horizontal="left" vertical="center" textRotation="0" shrinkToFit="false" wrapText="false"/>
      <protection hidden="false" locked="true"/>
    </xf>
    <xf applyAlignment="true" applyBorder="true" applyFill="true" applyNumberFormat="true" applyFont="true" applyProtection="true" borderId="23" fillId="0" fontId="8" numFmtId="0" xfId="0">
      <alignment horizontal="right" vertical="center" textRotation="0" shrinkToFit="false" wrapText="false"/>
      <protection hidden="false" locked="true"/>
    </xf>
    <xf applyAlignment="true" applyBorder="true" applyFill="true" applyNumberFormat="true" applyFont="true" applyProtection="true" borderId="25" fillId="0" fontId="7" numFmtId="0" xfId="0">
      <alignment horizontal="left" vertical="center" textRotation="0" shrinkToFit="false" wrapText="false"/>
      <protection hidden="false" locked="true"/>
    </xf>
    <xf applyAlignment="true" applyBorder="true" applyFill="true" applyNumberFormat="true" applyFont="true" applyProtection="true" borderId="13" fillId="0" fontId="7" numFmtId="0" xfId="0">
      <alignment horizontal="left" vertical="center" textRotation="0" shrinkToFit="false" wrapText="false"/>
      <protection hidden="false" locked="true"/>
    </xf>
    <xf applyAlignment="true" applyBorder="true" applyFill="true" applyNumberFormat="true" applyFont="true" applyProtection="true" borderId="14" fillId="0" fontId="8" numFmtId="4" xfId="0">
      <alignment horizontal="right" vertical="center" textRotation="0" shrinkToFit="false" wrapText="false"/>
      <protection hidden="false" locked="true"/>
    </xf>
    <xf applyAlignment="true" applyBorder="true" applyFill="true" applyNumberFormat="true" applyFont="true" applyProtection="true" borderId="12" fillId="0" fontId="7" numFmtId="0" xfId="0">
      <alignment horizontal="left" vertical="center" textRotation="0" shrinkToFit="false" wrapText="false"/>
      <protection hidden="false" locked="true"/>
    </xf>
    <xf applyAlignment="true" applyBorder="true" applyFill="true" applyNumberFormat="true" applyFont="true" applyProtection="true" borderId="26" fillId="0" fontId="8" numFmtId="4" xfId="0">
      <alignment horizontal="right" vertical="center" textRotation="0" shrinkToFit="false" wrapText="false"/>
      <protection hidden="false" locked="true"/>
    </xf>
    <xf applyAlignment="true" applyBorder="true" applyFill="true" applyNumberFormat="true" applyFont="true" applyProtection="true" borderId="17" fillId="0" fontId="7" numFmtId="0" xfId="0">
      <alignment horizontal="left" vertical="center" textRotation="0" shrinkToFit="false" wrapText="false"/>
      <protection hidden="false" locked="true"/>
    </xf>
    <xf applyAlignment="true" applyBorder="true" applyFill="true" applyNumberFormat="true" applyFont="true" applyProtection="true" borderId="25" fillId="2" fontId="7" numFmtId="0" xfId="0">
      <alignment horizontal="left" vertical="center" textRotation="0" shrinkToFit="false" wrapText="false"/>
      <protection hidden="false" locked="true"/>
    </xf>
    <xf applyAlignment="true" applyBorder="true" applyFill="true" applyNumberFormat="true" applyFont="true" applyProtection="true" borderId="27" fillId="2" fontId="7" numFmtId="0" xfId="0">
      <alignment horizontal="left" vertical="center" textRotation="0" shrinkToFit="false" wrapText="false"/>
      <protection hidden="false" locked="true"/>
    </xf>
    <xf applyAlignment="true" applyBorder="true" applyFill="true" applyNumberFormat="true" applyFont="true" applyProtection="true" borderId="13" fillId="2" fontId="7" numFmtId="4" xfId="0">
      <alignment horizontal="right" vertical="center" textRotation="0" shrinkToFit="false" wrapText="false"/>
      <protection hidden="false" locked="true"/>
    </xf>
    <xf applyAlignment="true" applyBorder="true" applyFill="true" applyNumberFormat="true" applyFont="true" applyProtection="true" borderId="20" fillId="2" fontId="7" numFmtId="0" xfId="0">
      <alignment horizontal="left" vertical="center" textRotation="0" shrinkToFit="false" wrapText="false"/>
      <protection hidden="false" locked="true"/>
    </xf>
    <xf applyAlignment="true" applyBorder="true" applyFill="true" applyNumberFormat="true" applyFont="true" applyProtection="true" borderId="28" fillId="2" fontId="7" numFmtId="0" xfId="0">
      <alignment horizontal="left" vertical="center" textRotation="0" shrinkToFit="false" wrapText="false"/>
      <protection hidden="false" locked="true"/>
    </xf>
    <xf applyAlignment="true" applyBorder="true" applyFill="true" applyNumberFormat="true" applyFont="true" applyProtection="true" borderId="18" fillId="2" fontId="7" numFmtId="4" xfId="0">
      <alignment horizontal="right" vertical="center" textRotation="0" shrinkToFit="false" wrapText="false"/>
      <protection hidden="false" locked="true"/>
    </xf>
    <xf applyAlignment="true" applyBorder="true" applyFill="true" applyNumberFormat="true" applyFont="true" applyProtection="true" borderId="12" fillId="2" fontId="7" numFmtId="0" xfId="0">
      <alignment horizontal="left" vertical="center" textRotation="0" shrinkToFit="false" wrapText="false"/>
      <protection hidden="false" locked="true"/>
    </xf>
    <xf applyAlignment="true" applyBorder="true" applyFill="true" applyNumberFormat="true" applyFont="true" applyProtection="true" borderId="17" fillId="2" fontId="7" numFmtId="0" xfId="0">
      <alignment horizontal="left" vertical="center" textRotation="0" shrinkToFit="false" wrapText="false"/>
      <protection hidden="false" locked="true"/>
    </xf>
    <xf applyAlignment="true" applyBorder="true" applyFill="true" applyNumberFormat="true" applyFont="true" applyProtection="true" borderId="29" fillId="0" fontId="8" numFmtId="0" xfId="0">
      <alignment horizontal="left" vertical="center" textRotation="0" shrinkToFit="false" wrapText="false"/>
      <protection hidden="false" locked="true"/>
    </xf>
    <xf applyAlignment="true" applyBorder="true" applyFill="true" applyNumberFormat="true" applyFont="true" applyProtection="true" borderId="30" fillId="0" fontId="8" numFmtId="0" xfId="0">
      <alignment horizontal="left" vertical="center" textRotation="0" shrinkToFit="false" wrapText="false"/>
      <protection hidden="false" locked="true"/>
    </xf>
    <xf applyAlignment="true" applyBorder="true" applyFill="true" applyNumberFormat="true" applyFont="true" applyProtection="true" borderId="31" fillId="0" fontId="8" numFmtId="0" xfId="0">
      <alignment horizontal="left" vertical="center" textRotation="0" shrinkToFit="false" wrapText="false"/>
      <protection hidden="false" locked="true"/>
    </xf>
    <xf applyAlignment="true" applyBorder="true" applyFill="true" applyNumberFormat="true" applyFont="true" applyProtection="true" borderId="32" fillId="0" fontId="8" numFmtId="0" xfId="0">
      <alignment horizontal="left" vertical="center" textRotation="0" shrinkToFit="false" wrapText="false"/>
      <protection hidden="false" locked="true"/>
    </xf>
    <xf applyAlignment="true" applyBorder="true" applyFill="true" applyNumberFormat="true" applyFont="true" applyProtection="true" borderId="33" fillId="0" fontId="8" numFmtId="0" xfId="0">
      <alignment horizontal="left" vertical="center" textRotation="0" shrinkToFit="false" wrapText="false"/>
      <protection hidden="false" locked="true"/>
    </xf>
    <xf applyAlignment="true" applyBorder="true" applyFill="true" applyNumberFormat="true" applyFont="true" applyProtection="true" borderId="0" fillId="0" fontId="8" numFmtId="0" xfId="0">
      <alignment horizontal="left" vertical="center" textRotation="0" shrinkToFit="false" wrapText="false"/>
      <protection hidden="false" locked="true"/>
    </xf>
    <xf applyAlignment="true" applyBorder="true" applyFill="true" applyNumberFormat="true" applyFont="true" applyProtection="true" borderId="34" fillId="0" fontId="8" numFmtId="0" xfId="0">
      <alignment horizontal="left" vertical="center" textRotation="0" shrinkToFit="false" wrapText="false"/>
      <protection hidden="false" locked="true"/>
    </xf>
    <xf applyAlignment="true" applyBorder="true" applyFill="true" applyNumberFormat="true" applyFont="true" applyProtection="true" borderId="35" fillId="0" fontId="8" numFmtId="0" xfId="0">
      <alignment horizontal="left" vertical="center" textRotation="0" shrinkToFit="false" wrapText="false"/>
      <protection hidden="false" locked="true"/>
    </xf>
    <xf applyAlignment="true" applyBorder="true" applyFill="true" applyNumberFormat="true" applyFont="true" applyProtection="true" borderId="36" fillId="0" fontId="8" numFmtId="0" xfId="0">
      <alignment horizontal="left" vertical="center" textRotation="0" shrinkToFit="false" wrapText="false"/>
      <protection hidden="false" locked="true"/>
    </xf>
    <xf applyAlignment="true" applyBorder="true" applyFill="true" applyNumberFormat="true" applyFont="true" applyProtection="true" borderId="37" fillId="0" fontId="8" numFmtId="0" xfId="0">
      <alignment horizontal="left" vertical="center" textRotation="0" shrinkToFit="false" wrapText="false"/>
      <protection hidden="false" locked="true"/>
    </xf>
    <xf applyAlignment="true" applyBorder="true" applyFill="true" applyNumberFormat="true" applyFont="true" applyProtection="true" borderId="38" fillId="0" fontId="8" numFmtId="0" xfId="0">
      <alignment horizontal="left" vertical="center" textRotation="0" shrinkToFit="false" wrapText="false"/>
      <protection hidden="false" locked="true"/>
    </xf>
    <xf applyAlignment="true" applyBorder="true" applyFill="true" applyNumberFormat="true" applyFont="true" applyProtection="true" borderId="39" fillId="0" fontId="8" numFmtId="0" xfId="0">
      <alignment horizontal="left" vertical="center" textRotation="0" shrinkToFit="false" wrapText="false"/>
      <protection hidden="false" locked="true"/>
    </xf>
    <xf applyAlignment="true" applyBorder="true" applyFill="true" applyNumberFormat="true" applyFont="true" applyProtection="true" borderId="40" fillId="0" fontId="9" numFmtId="0" xfId="0">
      <alignment horizontal="left" vertical="center" textRotation="0" shrinkToFit="false" wrapText="false"/>
      <protection hidden="false" locked="true"/>
    </xf>
    <xf applyAlignment="true" applyBorder="true" applyFill="true" applyNumberFormat="true" applyFont="true" applyProtection="true" borderId="41" fillId="0" fontId="7" numFmtId="0" xfId="0">
      <alignment horizontal="left" vertical="center" textRotation="0" shrinkToFit="false" wrapText="false"/>
      <protection hidden="false" locked="true"/>
    </xf>
    <xf applyAlignment="true" applyBorder="true" applyFill="true" applyNumberFormat="true" applyFont="true" applyProtection="true" borderId="42" fillId="0" fontId="3" numFmtId="0" xfId="0">
      <alignment horizontal="left" vertical="center" textRotation="0" shrinkToFit="false" wrapText="false"/>
      <protection hidden="false" locked="true"/>
    </xf>
    <xf applyAlignment="true" applyBorder="true" applyFill="true" applyNumberFormat="true" applyFont="true" applyProtection="true" borderId="43" fillId="0" fontId="3" numFmtId="0" xfId="0">
      <alignment horizontal="left" vertical="center" textRotation="0" shrinkToFit="false" wrapText="false"/>
      <protection hidden="false" locked="true"/>
    </xf>
    <xf applyAlignment="true" applyBorder="true" applyFill="true" applyNumberFormat="true" applyFont="true" applyProtection="true" borderId="44" fillId="0" fontId="3" numFmtId="0" xfId="0">
      <alignment horizontal="left" vertical="center" textRotation="0" shrinkToFit="false" wrapText="false"/>
      <protection hidden="false" locked="true"/>
    </xf>
    <xf applyAlignment="true" applyBorder="true" applyFill="true" applyNumberFormat="true" applyFont="true" applyProtection="true" borderId="45" fillId="0" fontId="3" numFmtId="0" xfId="0">
      <alignment horizontal="right" vertical="center" textRotation="0" shrinkToFit="false" wrapText="false"/>
      <protection hidden="false" locked="true"/>
    </xf>
    <xf applyAlignment="true" applyBorder="true" applyFill="true" applyNumberFormat="true" applyFont="true" applyProtection="true" borderId="20" fillId="0" fontId="2" numFmtId="0" xfId="0">
      <alignment horizontal="left" vertical="center" textRotation="0" shrinkToFit="false" wrapText="false"/>
      <protection hidden="false" locked="true"/>
    </xf>
    <xf applyAlignment="true" applyBorder="true" applyFill="true" applyNumberFormat="true" applyFont="true" applyProtection="true" borderId="28" fillId="0" fontId="2" numFmtId="0" xfId="0">
      <alignment horizontal="left" vertical="center" textRotation="0" shrinkToFit="false" wrapText="false"/>
      <protection hidden="false" locked="true"/>
    </xf>
    <xf applyAlignment="true" applyBorder="true" applyFill="true" applyNumberFormat="true" applyFont="true" applyProtection="true" borderId="18" fillId="0" fontId="2" numFmtId="0" xfId="0">
      <alignment horizontal="left" vertical="center" textRotation="0" shrinkToFit="false" wrapText="false"/>
      <protection hidden="false" locked="true"/>
    </xf>
    <xf applyAlignment="true" applyBorder="true" applyFill="true" applyNumberFormat="true" applyFont="true" applyProtection="true" borderId="16" fillId="0" fontId="2" numFmtId="4" xfId="0">
      <alignment horizontal="right" vertical="center" textRotation="0" shrinkToFit="false" wrapText="false"/>
      <protection hidden="false" locked="true"/>
    </xf>
    <xf applyAlignment="true" applyBorder="true" applyFill="true" applyNumberFormat="true" applyFont="true" applyProtection="true" borderId="16" fillId="0" fontId="2" numFmtId="0" xfId="0">
      <alignment horizontal="left" vertical="center" textRotation="0" shrinkToFit="false" wrapText="false"/>
      <protection hidden="false" locked="true"/>
    </xf>
    <xf applyAlignment="true" applyBorder="true" applyFill="true" applyNumberFormat="true" applyFont="true" applyProtection="true" borderId="46" fillId="0" fontId="2" numFmtId="0" xfId="0">
      <alignment horizontal="left" vertical="center" textRotation="0" shrinkToFit="false" wrapText="false"/>
      <protection hidden="false" locked="true"/>
    </xf>
    <xf applyAlignment="true" applyBorder="true" applyFill="true" applyNumberFormat="true" applyFont="true" applyProtection="true" borderId="47" fillId="0" fontId="2" numFmtId="0" xfId="0">
      <alignment horizontal="left" vertical="center" textRotation="0" shrinkToFit="false" wrapText="false"/>
      <protection hidden="false" locked="true"/>
    </xf>
    <xf applyAlignment="true" applyBorder="true" applyFill="true" applyNumberFormat="true" applyFont="true" applyProtection="true" borderId="48" fillId="0" fontId="2" numFmtId="0" xfId="0">
      <alignment horizontal="left" vertical="center" textRotation="0" shrinkToFit="false" wrapText="false"/>
      <protection hidden="false" locked="true"/>
    </xf>
    <xf applyAlignment="true" applyBorder="true" applyFill="true" applyNumberFormat="true" applyFont="true" applyProtection="true" borderId="49" fillId="0" fontId="2" numFmtId="4" xfId="0">
      <alignment horizontal="right" vertical="center" textRotation="0" shrinkToFit="false" wrapText="false"/>
      <protection hidden="false" locked="true"/>
    </xf>
    <xf applyAlignment="true" applyBorder="true" applyFill="true" applyNumberFormat="true" applyFont="true" applyProtection="true" borderId="49" fillId="0" fontId="2" numFmtId="0" xfId="0">
      <alignment horizontal="left" vertical="center" textRotation="0" shrinkToFit="false" wrapText="false"/>
      <protection hidden="false" locked="true"/>
    </xf>
    <xf applyAlignment="true" applyBorder="true" applyFill="true" applyNumberFormat="true" applyFont="true" applyProtection="true" borderId="50" fillId="0" fontId="3" numFmtId="0" xfId="0">
      <alignment horizontal="left" vertical="center" textRotation="0" shrinkToFit="false" wrapText="false"/>
      <protection hidden="false" locked="true"/>
    </xf>
    <xf applyAlignment="true" applyBorder="true" applyFill="true" applyNumberFormat="true" applyFont="true" applyProtection="true" borderId="51" fillId="0" fontId="3" numFmtId="0" xfId="0">
      <alignment horizontal="left" vertical="center" textRotation="0" shrinkToFit="false" wrapText="false"/>
      <protection hidden="false" locked="true"/>
    </xf>
    <xf applyAlignment="true" applyBorder="true" applyFill="true" applyNumberFormat="true" applyFont="true" applyProtection="true" borderId="52" fillId="0" fontId="3" numFmtId="0" xfId="0">
      <alignment horizontal="left" vertical="center" textRotation="0" shrinkToFit="false" wrapText="false"/>
      <protection hidden="false" locked="true"/>
    </xf>
    <xf applyAlignment="true" applyBorder="true" applyFill="true" applyNumberFormat="true" applyFont="true" applyProtection="true" borderId="53" fillId="0" fontId="3" numFmtId="0" xfId="0">
      <alignment horizontal="left" vertical="center" textRotation="0" shrinkToFit="false" wrapText="false"/>
      <protection hidden="false" locked="true"/>
    </xf>
    <xf applyAlignment="true" applyBorder="true" applyFill="true" applyNumberFormat="true" applyFont="true" applyProtection="true" borderId="53" fillId="0" fontId="3" numFmtId="0" xfId="0">
      <alignment horizontal="right" vertical="center" textRotation="0" shrinkToFit="false" wrapText="false"/>
      <protection hidden="false" locked="true"/>
    </xf>
    <xf applyAlignment="true" applyBorder="true" applyFill="true" applyNumberFormat="true" applyFont="true" applyProtection="true" borderId="53" fillId="0" fontId="3" numFmtId="4" xfId="0">
      <alignment horizontal="right" vertical="center" textRotation="0" shrinkToFit="false" wrapText="false"/>
      <protection hidden="false" locked="true"/>
    </xf>
    <xf applyAlignment="true" applyBorder="true" applyFill="true" applyNumberFormat="true" applyFont="true" applyProtection="true" borderId="50" fillId="0" fontId="7" numFmtId="0" xfId="0">
      <alignment horizontal="left" vertical="center" textRotation="0" shrinkToFit="false" wrapText="false"/>
      <protection hidden="false" locked="true"/>
    </xf>
    <xf applyAlignment="true" applyBorder="true" applyFill="true" applyNumberFormat="true" applyFont="true" applyProtection="true" borderId="51" fillId="0" fontId="7" numFmtId="0" xfId="0">
      <alignment horizontal="left" vertical="center" textRotation="0" shrinkToFit="false" wrapText="false"/>
      <protection hidden="false" locked="true"/>
    </xf>
    <xf applyAlignment="true" applyBorder="true" applyFill="true" applyNumberFormat="true" applyFont="true" applyProtection="true" borderId="52" fillId="0" fontId="7" numFmtId="0" xfId="0">
      <alignment horizontal="left" vertical="center" textRotation="0" shrinkToFit="false" wrapText="false"/>
      <protection hidden="false" locked="true"/>
    </xf>
    <xf applyAlignment="true" applyBorder="true" applyFill="true" applyNumberFormat="true" applyFont="true" applyProtection="true" borderId="54" fillId="0" fontId="7" numFmtId="4" xfId="0">
      <alignment horizontal="right" vertical="center" textRotation="0" shrinkToFit="false" wrapText="false"/>
      <protection hidden="false" locked="true"/>
    </xf>
    <xf applyAlignment="true" applyBorder="true" applyFill="true" applyNumberFormat="true" applyFont="true" applyProtection="true" borderId="51" fillId="0" fontId="7" numFmtId="0" xfId="0">
      <alignment horizontal="right" vertical="center" textRotation="0" shrinkToFit="false" wrapText="false"/>
      <protection hidden="false" locked="true"/>
    </xf>
    <xf applyAlignment="true" applyBorder="true" applyFill="true" applyNumberFormat="true" applyFont="true" applyProtection="true" borderId="52" fillId="0" fontId="7" numFmtId="0" xfId="0">
      <alignment horizontal="right" vertical="center" textRotation="0" shrinkToFit="false" wrapText="false"/>
      <protection hidden="false" locked="true"/>
    </xf>
    <xf applyAlignment="true" applyBorder="true" applyFill="true" applyNumberFormat="true" applyFont="true" applyProtection="true" borderId="55" fillId="0" fontId="2" numFmtId="0" xfId="0">
      <alignment horizontal="left" vertical="center" textRotation="0" shrinkToFit="false" wrapText="false"/>
      <protection hidden="false" locked="true"/>
    </xf>
    <xf applyAlignment="true" applyBorder="true" applyFill="true" applyNumberFormat="true" applyFont="true" applyProtection="true" borderId="41" fillId="0" fontId="2" numFmtId="0" xfId="0">
      <alignment horizontal="left" vertical="center" textRotation="0" shrinkToFit="false" wrapText="false"/>
      <protection hidden="false" locked="true"/>
    </xf>
    <xf applyAlignment="true" applyBorder="true" applyFill="true" applyNumberFormat="true" applyFont="true" applyProtection="true" borderId="56" fillId="0" fontId="2" numFmtId="0" xfId="0">
      <alignment horizontal="left" vertical="center" textRotation="0" shrinkToFit="false" wrapText="false"/>
      <protection hidden="false" locked="true"/>
    </xf>
    <xf applyAlignment="true" applyBorder="true" applyFill="true" applyNumberFormat="true" applyFont="true" applyProtection="true" borderId="57" fillId="0" fontId="2" numFmtId="0" xfId="0">
      <alignment horizontal="left" vertical="center" textRotation="0" shrinkToFit="false" wrapText="false"/>
      <protection hidden="false" locked="true"/>
    </xf>
    <xf applyAlignment="true" applyBorder="true" applyFill="true" applyNumberFormat="true" applyFont="true" applyProtection="true" borderId="58" fillId="0" fontId="2" numFmtId="0" xfId="0">
      <alignment horizontal="left" vertical="center" textRotation="0" shrinkToFit="false" wrapText="false"/>
      <protection hidden="false" locked="true"/>
    </xf>
    <xf applyAlignment="true" applyBorder="true" applyFill="true" applyNumberFormat="true" applyFont="true" applyProtection="true" borderId="30" fillId="0" fontId="2" numFmtId="0" xfId="0">
      <alignment horizontal="left" vertical="center" textRotation="0" shrinkToFit="false" wrapText="false"/>
      <protection hidden="false" locked="true"/>
    </xf>
    <xf applyAlignment="true" applyBorder="true" applyFill="true" applyNumberFormat="true" applyFont="true" applyProtection="true" borderId="59" fillId="0" fontId="2" numFmtId="0" xfId="0">
      <alignment horizontal="left" vertical="center" textRotation="0" shrinkToFit="false" wrapText="false"/>
      <protection hidden="false" locked="true"/>
    </xf>
    <xf applyAlignment="true" applyBorder="true" applyFill="true" applyNumberFormat="true" applyFont="true" applyProtection="true" borderId="42" fillId="0" fontId="3" numFmtId="0" xfId="0">
      <alignment horizontal="center" vertical="center" textRotation="0" shrinkToFit="false" wrapText="false"/>
      <protection hidden="false" locked="true"/>
    </xf>
    <xf applyAlignment="true" applyBorder="true" applyFill="true" applyNumberFormat="true" applyFont="true" applyProtection="true" borderId="43" fillId="0" fontId="3" numFmtId="0" xfId="0">
      <alignment horizontal="center" vertical="center" textRotation="0" shrinkToFit="false" wrapText="false"/>
      <protection hidden="false" locked="true"/>
    </xf>
    <xf applyAlignment="true" applyBorder="true" applyFill="true" applyNumberFormat="true" applyFont="true" applyProtection="true" borderId="44" fillId="0" fontId="3" numFmtId="0" xfId="0">
      <alignment horizontal="center" vertical="center" textRotation="0" shrinkToFit="false" wrapText="false"/>
      <protection hidden="false" locked="true"/>
    </xf>
    <xf applyAlignment="true" applyBorder="true" applyFill="true" applyNumberFormat="true" applyFont="true" applyProtection="true" borderId="60" fillId="0" fontId="3" numFmtId="0" xfId="0">
      <alignment horizontal="left" vertical="center" textRotation="0" shrinkToFit="false" wrapText="false"/>
      <protection hidden="false" locked="true"/>
    </xf>
    <xf applyAlignment="true" applyBorder="true" applyFill="true" applyNumberFormat="true" applyFont="true" applyProtection="true" borderId="61" fillId="0" fontId="3" numFmtId="0" xfId="0">
      <alignment horizontal="left" vertical="center" textRotation="0" shrinkToFit="false" wrapText="false"/>
      <protection hidden="false" locked="true"/>
    </xf>
    <xf applyAlignment="true" applyBorder="true" applyFill="true" applyNumberFormat="true" applyFont="true" applyProtection="true" borderId="37" fillId="0" fontId="3" numFmtId="0" xfId="0">
      <alignment horizontal="left" vertical="center" textRotation="0" shrinkToFit="false" wrapText="false"/>
      <protection hidden="false" locked="true"/>
    </xf>
    <xf applyAlignment="true" applyBorder="true" applyFill="true" applyNumberFormat="true" applyFont="true" applyProtection="true" borderId="62" fillId="0" fontId="3" numFmtId="0" xfId="0">
      <alignment horizontal="left" vertical="center" textRotation="0" shrinkToFit="false" wrapText="false"/>
      <protection hidden="false" locked="true"/>
    </xf>
    <xf applyAlignment="true" applyBorder="true" applyFill="true" applyNumberFormat="true" applyFont="true" applyProtection="true" borderId="63" fillId="0" fontId="3" numFmtId="0" xfId="0">
      <alignment horizontal="center" vertical="center" textRotation="0" shrinkToFit="false" wrapText="false"/>
      <protection hidden="false" locked="true"/>
    </xf>
    <xf applyAlignment="true" applyBorder="true" applyFill="true" applyNumberFormat="true" applyFont="true" applyProtection="true" borderId="26" fillId="0" fontId="3" numFmtId="0" xfId="0">
      <alignment horizontal="center" vertical="center" textRotation="0" shrinkToFit="false" wrapText="false"/>
      <protection hidden="false" locked="true"/>
    </xf>
    <xf applyAlignment="true" applyBorder="true" applyFill="true" applyNumberFormat="true" applyFont="true" applyProtection="true" borderId="64" fillId="0" fontId="3" numFmtId="0" xfId="0">
      <alignment horizontal="center" vertical="center" textRotation="0" shrinkToFit="false" wrapText="false"/>
      <protection hidden="false" locked="true"/>
    </xf>
    <xf applyAlignment="true" applyBorder="true" applyFill="true" applyNumberFormat="true" applyFont="true" applyProtection="true" borderId="65" fillId="0" fontId="2" numFmtId="0" xfId="0">
      <alignment horizontal="left" vertical="center" textRotation="0" shrinkToFit="false" wrapText="false"/>
      <protection hidden="false" locked="true"/>
    </xf>
    <xf applyAlignment="true" applyBorder="true" applyFill="true" applyNumberFormat="true" applyFont="true" applyProtection="true" borderId="40" fillId="0" fontId="2" numFmtId="0" xfId="0">
      <alignment horizontal="left" vertical="center" textRotation="0" shrinkToFit="false" wrapText="false"/>
      <protection hidden="false" locked="true"/>
    </xf>
    <xf applyAlignment="true" applyBorder="true" applyFill="true" applyNumberFormat="true" applyFont="true" applyProtection="true" borderId="40" fillId="0" fontId="2" numFmtId="4" xfId="0">
      <alignment horizontal="right" vertical="center" textRotation="0" shrinkToFit="false" wrapText="false"/>
      <protection hidden="false" locked="true"/>
    </xf>
    <xf applyAlignment="true" applyBorder="true" applyFill="true" applyNumberFormat="true" applyFont="true" applyProtection="true" borderId="66" fillId="0" fontId="2" numFmtId="4" xfId="0">
      <alignment horizontal="right" vertical="center" textRotation="0" shrinkToFit="false" wrapText="false"/>
      <protection hidden="false" locked="true"/>
    </xf>
    <xf applyAlignment="true" applyBorder="true" applyFill="true" applyNumberFormat="true" applyFont="true" applyProtection="true" borderId="67" fillId="0" fontId="2" numFmtId="0" xfId="0">
      <alignment horizontal="right" vertical="center" textRotation="0" shrinkToFit="false" wrapText="false"/>
      <protection hidden="false" locked="true"/>
    </xf>
    <xf applyAlignment="true" applyBorder="true" applyFill="true" applyNumberFormat="true" applyFont="true" applyProtection="true" borderId="0" fillId="0" fontId="2" numFmtId="4" xfId="0">
      <alignment horizontal="right" vertical="center" textRotation="0" shrinkToFit="false" wrapText="false"/>
      <protection hidden="false" locked="true"/>
    </xf>
    <xf applyAlignment="true" applyBorder="true" applyFill="true" applyNumberFormat="true" applyFont="true" applyProtection="true" borderId="6" fillId="0" fontId="2" numFmtId="4" xfId="0">
      <alignment horizontal="right" vertical="center" textRotation="0" shrinkToFit="false" wrapText="false"/>
      <protection hidden="false" locked="true"/>
    </xf>
    <xf applyAlignment="true" applyBorder="true" applyFill="true" applyNumberFormat="true" applyFont="true" applyProtection="true" borderId="8" fillId="0" fontId="2" numFmtId="4" xfId="0">
      <alignment horizontal="right" vertical="center" textRotation="0" shrinkToFit="false" wrapText="false"/>
      <protection hidden="false" locked="true"/>
    </xf>
    <xf applyAlignment="true" applyBorder="true" applyFill="true" applyNumberFormat="true" applyFont="true" applyProtection="true" borderId="9" fillId="0" fontId="2" numFmtId="4" xfId="0">
      <alignment horizontal="right" vertical="center" textRotation="0" shrinkToFit="false" wrapText="false"/>
      <protection hidden="false" locked="true"/>
    </xf>
    <xf applyAlignment="true" applyBorder="true" applyFill="true" applyNumberFormat="true" applyFont="true" applyProtection="true" borderId="68" fillId="0" fontId="3" numFmtId="0" xfId="0">
      <alignment horizontal="left" vertical="center" textRotation="0" shrinkToFit="false" wrapText="false"/>
      <protection hidden="false" locked="true"/>
    </xf>
    <xf applyAlignment="true" applyBorder="true" applyFill="true" applyNumberFormat="true" applyFont="true" applyProtection="true" borderId="68" fillId="0" fontId="3" numFmtId="4" xfId="0">
      <alignment horizontal="right" vertical="center" textRotation="0" shrinkToFit="false" wrapText="false"/>
      <protection hidden="false" locked="true"/>
    </xf>
    <xf applyAlignment="true" applyBorder="true" applyFill="true" applyNumberFormat="true" applyFont="true" applyProtection="true" borderId="0" fillId="0" fontId="9" numFmtId="0" xfId="0">
      <alignment horizontal="left" vertical="center" textRotation="0" shrinkToFit="false" wrapText="false"/>
      <protection hidden="false" locked="true"/>
    </xf>
    <xf applyAlignment="true" applyBorder="true" applyFill="true" applyNumberFormat="true" applyFont="true" applyProtection="true" borderId="0" fillId="2" fontId="3" numFmtId="4" xfId="0">
      <alignment horizontal="right" vertical="center" textRotation="0" shrinkToFit="false" wrapText="false"/>
      <protection hidden="false" locked="true"/>
    </xf>
    <xf applyAlignment="true" applyBorder="true" applyFill="true" applyNumberFormat="true" applyFont="true" applyProtection="true" borderId="69" fillId="0" fontId="3" numFmtId="0" xfId="0">
      <alignment horizontal="left" vertical="center" textRotation="0" shrinkToFit="false" wrapText="false"/>
      <protection hidden="false" locked="true"/>
    </xf>
    <xf applyAlignment="true" applyBorder="true" applyFill="true" applyNumberFormat="true" applyFont="true" applyProtection="true" borderId="70" fillId="0" fontId="3" numFmtId="0" xfId="0">
      <alignment horizontal="left" vertical="center" textRotation="0" shrinkToFit="false" wrapText="false"/>
      <protection hidden="false" locked="true"/>
    </xf>
    <xf applyAlignment="true" applyBorder="true" applyFill="true" applyNumberFormat="true" applyFont="true" applyProtection="true" borderId="58" fillId="0" fontId="3" numFmtId="0" xfId="0">
      <alignment horizontal="left" vertical="center" textRotation="0" shrinkToFit="false" wrapText="false"/>
      <protection hidden="false" locked="true"/>
    </xf>
    <xf applyAlignment="true" applyBorder="true" applyFill="true" applyNumberFormat="true" applyFont="true" applyProtection="true" borderId="71" fillId="0" fontId="3" numFmtId="0" xfId="0">
      <alignment horizontal="left" vertical="center" textRotation="0" shrinkToFit="false" wrapText="false"/>
      <protection hidden="false" locked="true"/>
    </xf>
    <xf applyAlignment="true" applyBorder="true" applyFill="true" applyNumberFormat="true" applyFont="true" applyProtection="true" borderId="70" fillId="0" fontId="3" numFmtId="0" xfId="0">
      <alignment horizontal="center" vertical="center" textRotation="0" shrinkToFit="false" wrapText="false"/>
      <protection hidden="false" locked="true"/>
    </xf>
    <xf applyAlignment="true" applyBorder="true" applyFill="true" applyNumberFormat="true" applyFont="true" applyProtection="true" borderId="72" fillId="0" fontId="3" numFmtId="0" xfId="0">
      <alignment horizontal="center" vertical="center" textRotation="0" shrinkToFit="false" wrapText="false"/>
      <protection hidden="false" locked="true"/>
    </xf>
    <xf applyAlignment="true" applyBorder="true" applyFill="true" applyNumberFormat="true" applyFont="true" applyProtection="true" borderId="73" fillId="0" fontId="3" numFmtId="0" xfId="0">
      <alignment horizontal="center" vertical="center" textRotation="0" shrinkToFit="false" wrapText="false"/>
      <protection hidden="false" locked="true"/>
    </xf>
    <xf applyAlignment="true" applyBorder="true" applyFill="true" applyNumberFormat="true" applyFont="true" applyProtection="true" borderId="0" fillId="2" fontId="3" numFmtId="0" xfId="0">
      <alignment horizontal="right" vertical="center" textRotation="0" shrinkToFit="false" wrapText="false"/>
      <protection hidden="false" locked="true"/>
    </xf>
    <xf applyAlignment="true" applyBorder="true" applyFill="true" applyNumberFormat="true" applyFont="true" applyProtection="true" borderId="0" fillId="0" fontId="3" numFmtId="0" xfId="0">
      <alignment horizontal="right" vertical="center" textRotation="0" shrinkToFit="false" wrapText="false"/>
      <protection hidden="false" locked="true"/>
    </xf>
    <xf applyAlignment="true" applyBorder="true" applyFill="true" applyNumberFormat="true" applyFont="true" applyProtection="true" borderId="74" fillId="0" fontId="2" numFmtId="0" xfId="0">
      <alignment horizontal="left" vertical="center" textRotation="0" shrinkToFit="false" wrapText="false"/>
      <protection hidden="false" locked="true"/>
    </xf>
    <xf applyAlignment="true" applyBorder="true" applyFill="true" applyNumberFormat="true" applyFont="true" applyProtection="true" borderId="75" fillId="0" fontId="2" numFmtId="0" xfId="0">
      <alignment horizontal="left" vertical="center" textRotation="0" shrinkToFit="false" wrapText="false"/>
      <protection hidden="false" locked="true"/>
    </xf>
    <xf applyAlignment="true" applyBorder="true" applyFill="true" applyNumberFormat="true" applyFont="true" applyProtection="true" borderId="76" fillId="0" fontId="3" numFmtId="0" xfId="0">
      <alignment horizontal="left" vertical="center" textRotation="0" shrinkToFit="false" wrapText="false"/>
      <protection hidden="false" locked="true"/>
    </xf>
    <xf applyAlignment="true" applyBorder="true" applyFill="true" applyNumberFormat="true" applyFont="true" applyProtection="true" borderId="77" fillId="0" fontId="3" numFmtId="0" xfId="0">
      <alignment horizontal="center" vertical="center" textRotation="0" shrinkToFit="false" wrapText="false"/>
      <protection hidden="false" locked="true"/>
    </xf>
    <xf applyAlignment="true" applyBorder="true" applyFill="true" applyNumberFormat="true" applyFont="true" applyProtection="true" borderId="78" fillId="0" fontId="3" numFmtId="0" xfId="0">
      <alignment horizontal="center" vertical="center" textRotation="0" shrinkToFit="false" wrapText="false"/>
      <protection hidden="false" locked="true"/>
    </xf>
    <xf applyAlignment="true" applyBorder="true" applyFill="true" applyNumberFormat="true" applyFont="true" applyProtection="true" borderId="65" fillId="2" fontId="2" numFmtId="0" xfId="0">
      <alignment horizontal="left" vertical="center" textRotation="0" shrinkToFit="false" wrapText="false"/>
      <protection hidden="false" locked="true"/>
    </xf>
    <xf applyAlignment="true" applyBorder="true" applyFill="true" applyNumberFormat="true" applyFont="true" applyProtection="true" borderId="40" fillId="2" fontId="3" numFmtId="0" xfId="0">
      <alignment horizontal="left" vertical="center" textRotation="0" shrinkToFit="false" wrapText="false"/>
      <protection hidden="false" locked="true"/>
    </xf>
    <xf applyAlignment="true" applyBorder="true" applyFill="true" applyNumberFormat="true" applyFont="true" applyProtection="true" borderId="40" fillId="2" fontId="3" numFmtId="0" xfId="0">
      <alignment horizontal="left" vertical="center" textRotation="0" shrinkToFit="false" wrapText="true"/>
      <protection hidden="false" locked="true"/>
    </xf>
    <xf applyAlignment="true" applyBorder="true" applyFill="true" applyNumberFormat="true" applyFont="true" applyProtection="true" borderId="40" fillId="2" fontId="2" numFmtId="0" xfId="0">
      <alignment horizontal="left" vertical="center" textRotation="0" shrinkToFit="false" wrapText="false"/>
      <protection hidden="false" locked="true"/>
    </xf>
    <xf applyAlignment="true" applyBorder="true" applyFill="true" applyNumberFormat="true" applyFont="true" applyProtection="true" borderId="40" fillId="2" fontId="3" numFmtId="4" xfId="0">
      <alignment horizontal="right" vertical="center" textRotation="0" shrinkToFit="false" wrapText="false"/>
      <protection hidden="false" locked="true"/>
    </xf>
    <xf applyAlignment="true" applyBorder="true" applyFill="true" applyNumberFormat="true" applyFont="true" applyProtection="true" borderId="66" fillId="2" fontId="3" numFmtId="0" xfId="0">
      <alignment horizontal="right" vertical="center" textRotation="0" shrinkToFit="false" wrapText="false"/>
      <protection hidden="false" locked="true"/>
    </xf>
    <xf applyAlignment="true" applyBorder="true" applyFill="true" applyNumberFormat="true" applyFont="true" applyProtection="true" borderId="5" fillId="2" fontId="2" numFmtId="0" xfId="0">
      <alignment horizontal="left" vertical="center" textRotation="0" shrinkToFit="false" wrapText="false"/>
      <protection hidden="false" locked="true"/>
    </xf>
    <xf applyAlignment="true" applyBorder="true" applyFill="true" applyNumberFormat="true" applyFont="true" applyProtection="true" borderId="0" fillId="2" fontId="3" numFmtId="0" xfId="0">
      <alignment horizontal="left" vertical="center" textRotation="0" shrinkToFit="false" wrapText="false"/>
      <protection hidden="false" locked="true"/>
    </xf>
    <xf applyAlignment="true" applyBorder="true" applyFill="true" applyNumberFormat="true" applyFont="true" applyProtection="true" borderId="0" fillId="2" fontId="3" numFmtId="0" xfId="0">
      <alignment horizontal="left" vertical="center" textRotation="0" shrinkToFit="false" wrapText="true"/>
      <protection hidden="false" locked="true"/>
    </xf>
    <xf applyAlignment="true" applyBorder="true" applyFill="true" applyNumberFormat="true" applyFont="true" applyProtection="true" borderId="0" fillId="2" fontId="2" numFmtId="0" xfId="0">
      <alignment horizontal="left" vertical="center" textRotation="0" shrinkToFit="false" wrapText="false"/>
      <protection hidden="false" locked="true"/>
    </xf>
    <xf applyAlignment="true" applyBorder="true" applyFill="true" applyNumberFormat="true" applyFont="true" applyProtection="true" borderId="6" fillId="2" fontId="3" numFmtId="0" xfId="0">
      <alignment horizontal="right" vertical="center" textRotation="0" shrinkToFit="false" wrapText="false"/>
      <protection hidden="false" locked="true"/>
    </xf>
    <xf applyAlignment="true" applyBorder="true" applyFill="true" applyNumberFormat="true" applyFont="true" applyProtection="true" borderId="6" fillId="0" fontId="2" numFmtId="0" xfId="0">
      <alignment horizontal="right" vertical="center" textRotation="0" shrinkToFit="false" wrapText="false"/>
      <protection hidden="false" locked="true"/>
    </xf>
    <xf applyAlignment="true" applyBorder="true" applyFill="true" applyNumberFormat="true" applyFont="true" applyProtection="true" borderId="0" fillId="0" fontId="2" numFmtId="0" xfId="0">
      <alignment horizontal="right" vertical="center" textRotation="0" shrinkToFit="false" wrapText="false"/>
      <protection hidden="false" locked="true"/>
    </xf>
    <xf applyAlignment="true" applyBorder="true" applyFill="true" applyNumberFormat="true" applyFont="true" applyProtection="true" borderId="5" fillId="0" fontId="0" numFmtId="0" xfId="0">
      <alignment horizontal="general" vertical="bottom" textRotation="0" shrinkToFit="false" wrapText="false"/>
      <protection hidden="false" locked="true"/>
    </xf>
    <xf applyAlignment="true" applyBorder="true" applyFill="true" applyNumberFormat="true" applyFont="true" applyProtection="true" borderId="0" fillId="0" fontId="10" numFmtId="0" xfId="0">
      <alignment horizontal="left" vertical="center" textRotation="0" shrinkToFit="false" wrapText="false"/>
      <protection hidden="false" locked="true"/>
    </xf>
    <xf applyAlignment="true" applyBorder="true" applyFill="true" applyNumberFormat="true" applyFont="true" applyProtection="true" borderId="0" fillId="0" fontId="10" numFmtId="4" xfId="0">
      <alignment horizontal="right" vertical="center" textRotation="0" shrinkToFit="false" wrapText="false"/>
      <protection hidden="false" locked="true"/>
    </xf>
    <xf applyAlignment="true" applyBorder="true" applyFill="true" applyNumberFormat="true" applyFont="true" applyProtection="true" borderId="6" fillId="0" fontId="0" numFmtId="0" xfId="0">
      <alignment horizontal="general" vertical="bottom" textRotation="0" shrinkToFit="false" wrapText="false"/>
      <protection hidden="false" locked="true"/>
    </xf>
    <xf applyAlignment="true" applyBorder="true" applyFill="true" applyNumberFormat="true" applyFont="true" applyProtection="true" borderId="0" fillId="0" fontId="10" numFmtId="0" xfId="0">
      <alignment horizontal="left" vertical="center" textRotation="0" shrinkToFit="false" wrapText="true"/>
      <protection hidden="false" locked="true"/>
    </xf>
    <xf applyAlignment="true" applyBorder="true" applyFill="true" applyNumberFormat="true" applyFont="true" applyProtection="true" borderId="6" fillId="0" fontId="10" numFmtId="0" xfId="0">
      <alignment horizontal="left" vertical="center" textRotation="0" shrinkToFit="false" wrapText="false"/>
      <protection hidden="false" locked="true"/>
    </xf>
    <xf applyAlignment="true" applyBorder="true" applyFill="true" applyNumberFormat="true" applyFont="true" applyProtection="true" borderId="0" fillId="0" fontId="10" numFmtId="0" xfId="0">
      <alignment horizontal="right" vertical="center" textRotation="0" shrinkToFit="false" wrapText="false"/>
      <protection hidden="false" locked="true"/>
    </xf>
    <xf applyAlignment="true" applyBorder="true" applyFill="true" applyNumberFormat="true" applyFont="true" applyProtection="true" borderId="5" fillId="0" fontId="11" numFmtId="0" xfId="0">
      <alignment horizontal="left" vertical="center" textRotation="0" shrinkToFit="false" wrapText="false"/>
      <protection hidden="false" locked="true"/>
    </xf>
    <xf applyAlignment="true" applyBorder="true" applyFill="true" applyNumberFormat="true" applyFont="true" applyProtection="true" borderId="0" fillId="0" fontId="11" numFmtId="0" xfId="0">
      <alignment horizontal="left" vertical="center" textRotation="0" shrinkToFit="false" wrapText="false"/>
      <protection hidden="false" locked="true"/>
    </xf>
    <xf applyAlignment="true" applyBorder="true" applyFill="true" applyNumberFormat="true" applyFont="true" applyProtection="true" borderId="0" fillId="0" fontId="11" numFmtId="0" xfId="0">
      <alignment horizontal="left" vertical="center" textRotation="0" shrinkToFit="false" wrapText="true"/>
      <protection hidden="false" locked="true"/>
    </xf>
    <xf applyAlignment="true" applyBorder="true" applyFill="true" applyNumberFormat="true" applyFont="true" applyProtection="true" borderId="0" fillId="0" fontId="11" numFmtId="4" xfId="0">
      <alignment horizontal="right" vertical="center" textRotation="0" shrinkToFit="false" wrapText="false"/>
      <protection hidden="false" locked="true"/>
    </xf>
    <xf applyAlignment="true" applyBorder="true" applyFill="true" applyNumberFormat="true" applyFont="true" applyProtection="true" borderId="6" fillId="0" fontId="11" numFmtId="0" xfId="0">
      <alignment horizontal="right" vertical="center" textRotation="0" shrinkToFit="false" wrapText="false"/>
      <protection hidden="false" locked="true"/>
    </xf>
    <xf applyAlignment="true" applyBorder="true" applyFill="true" applyNumberFormat="true" applyFont="true" applyProtection="true" borderId="0" fillId="0" fontId="11" numFmtId="0" xfId="0">
      <alignment horizontal="right" vertical="center" textRotation="0" shrinkToFit="false" wrapText="false"/>
      <protection hidden="false" locked="true"/>
    </xf>
    <xf applyAlignment="true" applyBorder="true" applyFill="true" applyNumberFormat="true" applyFont="true" applyProtection="true" borderId="0" fillId="0" fontId="12" numFmtId="0" xfId="0">
      <alignment horizontal="left" vertical="center" textRotation="0" shrinkToFit="false" wrapText="true"/>
      <protection hidden="false" locked="true"/>
    </xf>
    <xf applyAlignment="true" applyBorder="true" applyFill="true" applyNumberFormat="true" applyFont="true" applyProtection="true" borderId="7" fillId="0" fontId="0" numFmtId="0" xfId="0">
      <alignment horizontal="general" vertical="bottom" textRotation="0" shrinkToFit="false" wrapText="false"/>
      <protection hidden="false" locked="true"/>
    </xf>
    <xf applyAlignment="true" applyBorder="true" applyFill="true" applyNumberFormat="true" applyFont="true" applyProtection="true" borderId="8" fillId="0" fontId="10" numFmtId="0" xfId="0">
      <alignment horizontal="right" vertical="center" textRotation="0" shrinkToFit="false" wrapText="false"/>
      <protection hidden="false" locked="true"/>
    </xf>
    <xf applyAlignment="true" applyBorder="true" applyFill="true" applyNumberFormat="true" applyFont="true" applyProtection="true" borderId="8" fillId="0" fontId="10" numFmtId="0" xfId="0">
      <alignment horizontal="left" vertical="center" textRotation="0" shrinkToFit="false" wrapText="true"/>
      <protection hidden="false" locked="true"/>
    </xf>
    <xf applyAlignment="true" applyBorder="true" applyFill="true" applyNumberFormat="true" applyFont="true" applyProtection="true" borderId="8" fillId="0" fontId="10" numFmtId="0" xfId="0">
      <alignment horizontal="left" vertical="center" textRotation="0" shrinkToFit="false" wrapText="false"/>
      <protection hidden="false" locked="true"/>
    </xf>
    <xf applyAlignment="true" applyBorder="true" applyFill="true" applyNumberFormat="true" applyFont="true" applyProtection="true" borderId="9" fillId="0" fontId="10" numFmtId="0" xfId="0">
      <alignment horizontal="left" vertical="center" textRotation="0" shrinkToFit="false" wrapText="false"/>
      <protection hidden="false" locked="true"/>
    </xf>
  </cellXfs>
  <dxfs count="0"/>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haredStrings" Target="sharedStrings.xml" /><Relationship Id="rId6"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xl/media/image1.jpeg" /></Relationships>
</file>

<file path=xl/drawings/_rels/drawing2.xml.rels><?xml version="1.0" encoding="utf-8"?><Relationships xmlns="http://schemas.openxmlformats.org/package/2006/relationships"><Relationship Id="rId1" Type="http://schemas.openxmlformats.org/officeDocument/2006/relationships/image" Target="/xl/media/image1.jpeg" /></Relationships>
</file>

<file path=xl/drawings/_rels/drawing3.xml.rels><?xml version="1.0" encoding="utf-8"?><Relationships xmlns="http://schemas.openxmlformats.org/package/2006/relationships"><Relationship Id="rId1" Type="http://schemas.openxmlformats.org/officeDocument/2006/relationships/image" Target="/xl/media/image1.jpeg" /></Relationships>
</file>

<file path=xl/drawings/_rels/drawing4.xml.rels><?xml version="1.0" encoding="utf-8"?><Relationships xmlns="http://schemas.openxmlformats.org/package/2006/relationships"><Relationship Id="rId1" Type="http://schemas.openxmlformats.org/officeDocument/2006/relationships/image" Target="/xl/media/image1.jpeg" /></Relationships>
</file>

<file path=xl/drawings/drawing1.xml><?xml version="1.0" encoding="utf-8"?>
<xdr:wsDr xmlns:a="http://schemas.openxmlformats.org/drawingml/2006/main" xmlns:xdr="http://schemas.openxmlformats.org/drawingml/2006/spreadsheetDrawing">
  <xdr:absoluteAnchor>
    <xdr:pos x="0" y="0"/>
    <xdr:ext cx="971550" cy="666750"/>
    <xdr:pic>
      <xdr:nvPicPr>
        <xdr:cNvPr id="1" name=""/>
        <xdr:cNvPicPr>
          <a:picLocks noChangeAspect="true"/>
        </xdr:cNvPicPr>
      </xdr:nvPicPr>
      <xdr:blipFill>
        <a:blip xmlns:r="http://schemas.openxmlformats.org/officeDocument/2006/relationships" r:embed="rId1"/>
        <a:stretch>
          <a:fillRect/>
        </a:stretch>
      </xdr:blipFill>
      <xdr:spPr>
        <a:xfrm>
          <a:off x="0" y="0"/>
          <a:ext cx="971550" cy="666750"/>
        </a:xfrm>
        <a:prstGeom prst="rect">
          <a:avLst/>
        </a:prstGeom>
        <a:noFill/>
        <a:ln w="9525">
          <a:noFill/>
        </a:ln>
      </xdr:spPr>
    </xdr:pic>
    <xdr:clientData/>
  </xdr:absoluteAnchor>
</xdr:wsDr>
</file>

<file path=xl/drawings/drawing2.xml><?xml version="1.0" encoding="utf-8"?>
<xdr:wsDr xmlns:a="http://schemas.openxmlformats.org/drawingml/2006/main" xmlns:xdr="http://schemas.openxmlformats.org/drawingml/2006/spreadsheetDrawing">
  <xdr:absoluteAnchor>
    <xdr:pos x="0" y="0"/>
    <xdr:ext cx="971550" cy="666750"/>
    <xdr:pic>
      <xdr:nvPicPr>
        <xdr:cNvPr id="1" name=""/>
        <xdr:cNvPicPr>
          <a:picLocks noChangeAspect="true"/>
        </xdr:cNvPicPr>
      </xdr:nvPicPr>
      <xdr:blipFill>
        <a:blip xmlns:r="http://schemas.openxmlformats.org/officeDocument/2006/relationships" r:embed="rId1"/>
        <a:stretch>
          <a:fillRect/>
        </a:stretch>
      </xdr:blipFill>
      <xdr:spPr>
        <a:xfrm>
          <a:off x="0" y="0"/>
          <a:ext cx="971550" cy="666750"/>
        </a:xfrm>
        <a:prstGeom prst="rect">
          <a:avLst/>
        </a:prstGeom>
        <a:noFill/>
        <a:ln w="9525">
          <a:noFill/>
        </a:ln>
      </xdr:spPr>
    </xdr:pic>
    <xdr:clientData/>
  </xdr:absoluteAnchor>
</xdr:wsDr>
</file>

<file path=xl/drawings/drawing3.xml><?xml version="1.0" encoding="utf-8"?>
<xdr:wsDr xmlns:a="http://schemas.openxmlformats.org/drawingml/2006/main" xmlns:xdr="http://schemas.openxmlformats.org/drawingml/2006/spreadsheetDrawing">
  <xdr:absoluteAnchor>
    <xdr:pos x="0" y="0"/>
    <xdr:ext cx="971550" cy="666750"/>
    <xdr:pic>
      <xdr:nvPicPr>
        <xdr:cNvPr id="1" name=""/>
        <xdr:cNvPicPr>
          <a:picLocks noChangeAspect="true"/>
        </xdr:cNvPicPr>
      </xdr:nvPicPr>
      <xdr:blipFill>
        <a:blip xmlns:r="http://schemas.openxmlformats.org/officeDocument/2006/relationships" r:embed="rId1"/>
        <a:stretch>
          <a:fillRect/>
        </a:stretch>
      </xdr:blipFill>
      <xdr:spPr>
        <a:xfrm>
          <a:off x="0" y="0"/>
          <a:ext cx="971550" cy="666750"/>
        </a:xfrm>
        <a:prstGeom prst="rect">
          <a:avLst/>
        </a:prstGeom>
        <a:noFill/>
        <a:ln w="9525">
          <a:noFill/>
        </a:ln>
      </xdr:spPr>
    </xdr:pic>
    <xdr:clientData/>
  </xdr:absoluteAnchor>
</xdr:wsDr>
</file>

<file path=xl/drawings/drawing4.xml><?xml version="1.0" encoding="utf-8"?>
<xdr:wsDr xmlns:a="http://schemas.openxmlformats.org/drawingml/2006/main" xmlns:xdr="http://schemas.openxmlformats.org/drawingml/2006/spreadsheetDrawing">
  <xdr:absoluteAnchor>
    <xdr:pos x="0" y="0"/>
    <xdr:ext cx="971550" cy="666750"/>
    <xdr:pic>
      <xdr:nvPicPr>
        <xdr:cNvPr id="1" name=""/>
        <xdr:cNvPicPr>
          <a:picLocks noChangeAspect="true"/>
        </xdr:cNvPicPr>
      </xdr:nvPicPr>
      <xdr:blipFill>
        <a:blip xmlns:r="http://schemas.openxmlformats.org/officeDocument/2006/relationships" r:embed="rId1"/>
        <a:stretch>
          <a:fillRect/>
        </a:stretch>
      </xdr:blipFill>
      <xdr:spPr>
        <a:xfrm>
          <a:off x="0" y="0"/>
          <a:ext cx="971550" cy="666750"/>
        </a:xfrm>
        <a:prstGeom prst="rect">
          <a:avLst/>
        </a:prstGeom>
        <a:noFill/>
        <a:ln w="9525">
          <a:noFill/>
        </a:ln>
      </xdr:spPr>
    </xdr:pic>
    <xdr:clientData/>
  </xdr:absoluteAnchor>
</xdr:wsDr>
</file>

<file path=xl/worksheets/_rels/sheet1.xml.rels><?xml version="1.0" encoding="utf-8"?><Relationships xmlns="http://schemas.openxmlformats.org/package/2006/relationships"><Relationship Id="rId1"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outlinePr summaryBelow="true" summaryRight="true"/>
    <pageSetUpPr fitToPage="true"/>
  </sheetPr>
  <dimension ref="A1:I37"/>
  <sheetViews>
    <sheetView workbookViewId="0" tabSelected="true" showZeros="true" showFormulas="false" showGridLines="true" showRowColHeaders="true">
      <selection sqref="A37:I37" activeCell="A37"/>
    </sheetView>
  </sheetViews>
  <sheetFormatPr defaultColWidth="12.140625" customHeight="true" defaultRowHeight="15"/>
  <cols>
    <col max="1" min="1" style="0" width="9.140625" customWidth="true"/>
    <col max="2" min="2" style="0" width="12.85546875" customWidth="true"/>
    <col max="3" min="3" style="0" width="27.140625" customWidth="true"/>
    <col max="4" min="4" style="0" width="10" customWidth="true"/>
    <col max="5" min="5" style="0" width="14" customWidth="true"/>
    <col max="6" min="6" style="0" width="27.140625" customWidth="true"/>
    <col max="7" min="7" style="0" width="9.140625" customWidth="true"/>
    <col max="8" min="8" style="0" width="12.85546875" customWidth="true"/>
    <col max="9" min="9" style="0" width="27.140625" customWidth="true"/>
  </cols>
  <sheetData>
    <row r="1" customHeight="true" ht="54.75">
      <c r="A1" s="1" t="s">
        <v>0</v>
      </c>
      <c r="B1" s="2"/>
      <c r="C1" s="2"/>
      <c r="D1" s="2"/>
      <c r="E1" s="2"/>
      <c r="F1" s="2"/>
      <c r="G1" s="2"/>
      <c r="H1" s="2"/>
      <c r="I1" s="2"/>
    </row>
    <row r="2">
      <c r="A2" s="3" t="s">
        <v>1</v>
      </c>
      <c r="B2" s="4"/>
      <c r="C2" s="5">
        <f>'Stavební rozpočet'!C2</f>
      </c>
      <c r="D2" s="6"/>
      <c r="E2" s="7" t="s">
        <v>2</v>
      </c>
      <c r="F2" s="7">
        <f>'Stavební rozpočet'!I2</f>
      </c>
      <c r="G2" s="4"/>
      <c r="H2" s="7" t="s">
        <v>3</v>
      </c>
      <c r="I2" s="8" t="s">
        <v>4</v>
      </c>
    </row>
    <row r="3" customHeight="true" ht="15">
      <c r="A3" s="9"/>
      <c r="B3" s="10"/>
      <c r="C3" s="11"/>
      <c r="D3" s="11"/>
      <c r="E3" s="10"/>
      <c r="F3" s="10"/>
      <c r="G3" s="10"/>
      <c r="H3" s="10"/>
      <c r="I3" s="12"/>
    </row>
    <row r="4">
      <c r="A4" s="13" t="s">
        <v>5</v>
      </c>
      <c r="B4" s="10"/>
      <c r="C4" s="14">
        <f>'Stavební rozpočet'!C4</f>
      </c>
      <c r="D4" s="10"/>
      <c r="E4" s="14" t="s">
        <v>6</v>
      </c>
      <c r="F4" s="14">
        <f>'Stavební rozpočet'!I4</f>
      </c>
      <c r="G4" s="10"/>
      <c r="H4" s="14" t="s">
        <v>3</v>
      </c>
      <c r="I4" s="12" t="s">
        <v>4</v>
      </c>
    </row>
    <row r="5" customHeight="true" ht="15">
      <c r="A5" s="9"/>
      <c r="B5" s="10"/>
      <c r="C5" s="10"/>
      <c r="D5" s="10"/>
      <c r="E5" s="10"/>
      <c r="F5" s="10"/>
      <c r="G5" s="10"/>
      <c r="H5" s="10"/>
      <c r="I5" s="12"/>
    </row>
    <row r="6">
      <c r="A6" s="13" t="s">
        <v>7</v>
      </c>
      <c r="B6" s="10"/>
      <c r="C6" s="14">
        <f>'Stavební rozpočet'!C6</f>
      </c>
      <c r="D6" s="10"/>
      <c r="E6" s="14" t="s">
        <v>8</v>
      </c>
      <c r="F6" s="14">
        <f>'Stavební rozpočet'!I6</f>
      </c>
      <c r="G6" s="10"/>
      <c r="H6" s="14" t="s">
        <v>3</v>
      </c>
      <c r="I6" s="12" t="s">
        <v>4</v>
      </c>
    </row>
    <row r="7" customHeight="true" ht="15">
      <c r="A7" s="9"/>
      <c r="B7" s="10"/>
      <c r="C7" s="10"/>
      <c r="D7" s="10"/>
      <c r="E7" s="10"/>
      <c r="F7" s="10"/>
      <c r="G7" s="10"/>
      <c r="H7" s="10"/>
      <c r="I7" s="12"/>
    </row>
    <row r="8">
      <c r="A8" s="13" t="s">
        <v>9</v>
      </c>
      <c r="B8" s="10"/>
      <c r="C8" s="14">
        <f>'Stavební rozpočet'!G4</f>
      </c>
      <c r="D8" s="10"/>
      <c r="E8" s="14" t="s">
        <v>10</v>
      </c>
      <c r="F8" s="14">
        <f>'Stavební rozpočet'!G6</f>
      </c>
      <c r="G8" s="10"/>
      <c r="H8" s="10" t="s">
        <v>11</v>
      </c>
      <c r="I8" s="15" t="n">
        <v>209</v>
      </c>
    </row>
    <row r="9">
      <c r="A9" s="9"/>
      <c r="B9" s="10"/>
      <c r="C9" s="10"/>
      <c r="D9" s="10"/>
      <c r="E9" s="10"/>
      <c r="F9" s="10"/>
      <c r="G9" s="10"/>
      <c r="H9" s="10"/>
      <c r="I9" s="12"/>
    </row>
    <row r="10">
      <c r="A10" s="13" t="s">
        <v>12</v>
      </c>
      <c r="B10" s="10"/>
      <c r="C10" s="14">
        <f>'Stavební rozpočet'!C8</f>
      </c>
      <c r="D10" s="10"/>
      <c r="E10" s="14" t="s">
        <v>13</v>
      </c>
      <c r="F10" s="14">
        <f>'Stavební rozpočet'!I8</f>
      </c>
      <c r="G10" s="10"/>
      <c r="H10" s="10" t="s">
        <v>14</v>
      </c>
      <c r="I10" s="16">
        <f>'Stavební rozpočet'!G8</f>
      </c>
    </row>
    <row r="11">
      <c r="A11" s="17"/>
      <c r="B11" s="18"/>
      <c r="C11" s="18"/>
      <c r="D11" s="18"/>
      <c r="E11" s="18"/>
      <c r="F11" s="18"/>
      <c r="G11" s="18"/>
      <c r="H11" s="18"/>
      <c r="I11" s="19"/>
    </row>
    <row r="12">
      <c r="A12" s="20" t="s">
        <v>15</v>
      </c>
      <c r="B12" s="20"/>
      <c r="C12" s="20"/>
      <c r="D12" s="20"/>
      <c r="E12" s="20"/>
      <c r="F12" s="20"/>
      <c r="G12" s="20"/>
      <c r="H12" s="20"/>
      <c r="I12" s="20"/>
    </row>
    <row r="13" customHeight="true" ht="26.25">
      <c r="A13" s="21" t="s">
        <v>16</v>
      </c>
      <c r="B13" s="22" t="s">
        <v>17</v>
      </c>
      <c r="C13" s="23"/>
      <c r="D13" s="24" t="s">
        <v>18</v>
      </c>
      <c r="E13" s="22" t="s">
        <v>19</v>
      </c>
      <c r="F13" s="23"/>
      <c r="G13" s="24" t="s">
        <v>20</v>
      </c>
      <c r="H13" s="22" t="s">
        <v>21</v>
      </c>
      <c r="I13" s="23"/>
    </row>
    <row r="14">
      <c r="A14" s="25" t="s">
        <v>22</v>
      </c>
      <c r="B14" s="26" t="s">
        <v>23</v>
      </c>
      <c r="C14" s="27">
        <f>SUM('Stavební rozpočet'!AB12:AB723)</f>
      </c>
      <c r="D14" s="28" t="s">
        <v>24</v>
      </c>
      <c r="E14" s="29"/>
      <c r="F14" s="27">
        <f>VORN!I15</f>
      </c>
      <c r="G14" s="28" t="s">
        <v>25</v>
      </c>
      <c r="H14" s="29"/>
      <c r="I14" s="30">
        <f>VORN!I21</f>
      </c>
    </row>
    <row r="15">
      <c r="A15" s="31" t="s">
        <v>4</v>
      </c>
      <c r="B15" s="26" t="s">
        <v>26</v>
      </c>
      <c r="C15" s="27">
        <f>SUM('Stavební rozpočet'!AC12:AC723)</f>
      </c>
      <c r="D15" s="28" t="s">
        <v>27</v>
      </c>
      <c r="E15" s="29"/>
      <c r="F15" s="27">
        <f>VORN!I16</f>
      </c>
      <c r="G15" s="28" t="s">
        <v>28</v>
      </c>
      <c r="H15" s="29"/>
      <c r="I15" s="30">
        <f>VORN!I22</f>
      </c>
    </row>
    <row r="16">
      <c r="A16" s="25" t="s">
        <v>29</v>
      </c>
      <c r="B16" s="26" t="s">
        <v>23</v>
      </c>
      <c r="C16" s="27">
        <f>SUM('Stavební rozpočet'!AD12:AD723)</f>
      </c>
      <c r="D16" s="28" t="s">
        <v>30</v>
      </c>
      <c r="E16" s="29"/>
      <c r="F16" s="27">
        <f>VORN!I17</f>
      </c>
      <c r="G16" s="28" t="s">
        <v>31</v>
      </c>
      <c r="H16" s="29"/>
      <c r="I16" s="30">
        <f>VORN!I23</f>
      </c>
    </row>
    <row r="17">
      <c r="A17" s="31" t="s">
        <v>4</v>
      </c>
      <c r="B17" s="26" t="s">
        <v>26</v>
      </c>
      <c r="C17" s="27">
        <f>SUM('Stavební rozpočet'!AE12:AE723)</f>
      </c>
      <c r="D17" s="28" t="s">
        <v>4</v>
      </c>
      <c r="E17" s="29"/>
      <c r="F17" s="30" t="s">
        <v>4</v>
      </c>
      <c r="G17" s="28" t="s">
        <v>32</v>
      </c>
      <c r="H17" s="29"/>
      <c r="I17" s="30">
        <f>VORN!I24</f>
      </c>
    </row>
    <row r="18">
      <c r="A18" s="25" t="s">
        <v>33</v>
      </c>
      <c r="B18" s="26" t="s">
        <v>23</v>
      </c>
      <c r="C18" s="27">
        <f>SUM('Stavební rozpočet'!AF12:AF723)</f>
      </c>
      <c r="D18" s="28" t="s">
        <v>4</v>
      </c>
      <c r="E18" s="29"/>
      <c r="F18" s="30" t="s">
        <v>4</v>
      </c>
      <c r="G18" s="28" t="s">
        <v>34</v>
      </c>
      <c r="H18" s="29"/>
      <c r="I18" s="30">
        <f>VORN!I25</f>
      </c>
    </row>
    <row r="19">
      <c r="A19" s="31" t="s">
        <v>4</v>
      </c>
      <c r="B19" s="26" t="s">
        <v>26</v>
      </c>
      <c r="C19" s="27">
        <f>SUM('Stavební rozpočet'!AG12:AG723)</f>
      </c>
      <c r="D19" s="28" t="s">
        <v>4</v>
      </c>
      <c r="E19" s="29"/>
      <c r="F19" s="30" t="s">
        <v>4</v>
      </c>
      <c r="G19" s="28" t="s">
        <v>35</v>
      </c>
      <c r="H19" s="29"/>
      <c r="I19" s="30">
        <f>VORN!I26</f>
      </c>
    </row>
    <row r="20">
      <c r="A20" s="32" t="s">
        <v>36</v>
      </c>
      <c r="B20" s="33"/>
      <c r="C20" s="27">
        <f>SUM('Stavební rozpočet'!AH12:AH723)</f>
      </c>
      <c r="D20" s="28" t="s">
        <v>4</v>
      </c>
      <c r="E20" s="29"/>
      <c r="F20" s="30" t="s">
        <v>4</v>
      </c>
      <c r="G20" s="28" t="s">
        <v>4</v>
      </c>
      <c r="H20" s="29"/>
      <c r="I20" s="30" t="s">
        <v>4</v>
      </c>
    </row>
    <row r="21">
      <c r="A21" s="34" t="s">
        <v>37</v>
      </c>
      <c r="B21" s="35"/>
      <c r="C21" s="36">
        <f>SUM('Stavební rozpočet'!Z12:Z723)</f>
      </c>
      <c r="D21" s="37" t="s">
        <v>4</v>
      </c>
      <c r="E21" s="38"/>
      <c r="F21" s="39" t="s">
        <v>4</v>
      </c>
      <c r="G21" s="37" t="s">
        <v>4</v>
      </c>
      <c r="H21" s="38"/>
      <c r="I21" s="39" t="s">
        <v>4</v>
      </c>
    </row>
    <row r="22" customHeight="true" ht="16.5">
      <c r="A22" s="40" t="s">
        <v>38</v>
      </c>
      <c r="B22" s="41"/>
      <c r="C22" s="42">
        <f>ROUND(SUM(C14:C21),1)</f>
      </c>
      <c r="D22" s="43" t="s">
        <v>39</v>
      </c>
      <c r="E22" s="41"/>
      <c r="F22" s="42">
        <f>SUM(F14:F21)</f>
      </c>
      <c r="G22" s="43" t="s">
        <v>40</v>
      </c>
      <c r="H22" s="41"/>
      <c r="I22" s="42">
        <f>SUM(I14:I21)</f>
      </c>
    </row>
    <row r="23">
      <c r="D23" s="32" t="s">
        <v>41</v>
      </c>
      <c r="E23" s="33"/>
      <c r="F23" s="44" t="n">
        <v>0</v>
      </c>
      <c r="G23" s="45" t="s">
        <v>42</v>
      </c>
      <c r="H23" s="33"/>
      <c r="I23" s="27" t="n">
        <v>0</v>
      </c>
    </row>
    <row r="24">
      <c r="G24" s="32" t="s">
        <v>43</v>
      </c>
      <c r="H24" s="33"/>
      <c r="I24" s="36">
        <f>vorn_sum</f>
      </c>
    </row>
    <row r="25">
      <c r="G25" s="32" t="s">
        <v>44</v>
      </c>
      <c r="H25" s="33"/>
      <c r="I25" s="42" t="n">
        <v>0</v>
      </c>
    </row>
    <row r="27">
      <c r="A27" s="46" t="s">
        <v>45</v>
      </c>
      <c r="B27" s="47"/>
      <c r="C27" s="48">
        <f>ROUND(SUM('Stavební rozpočet'!AJ12:AJ723),1)</f>
      </c>
    </row>
    <row r="28">
      <c r="A28" s="49" t="s">
        <v>46</v>
      </c>
      <c r="B28" s="50"/>
      <c r="C28" s="51">
        <f>ROUND(SUM('Stavební rozpočet'!AK12:AK723),1)</f>
      </c>
      <c r="D28" s="52" t="s">
        <v>47</v>
      </c>
      <c r="E28" s="47"/>
      <c r="F28" s="48">
        <f>ROUND(C28*(12/100),2)</f>
      </c>
      <c r="G28" s="52" t="s">
        <v>48</v>
      </c>
      <c r="H28" s="47"/>
      <c r="I28" s="48">
        <f>ROUND(SUM(C27:C29),1)</f>
      </c>
    </row>
    <row r="29">
      <c r="A29" s="49" t="s">
        <v>49</v>
      </c>
      <c r="B29" s="50"/>
      <c r="C29" s="51">
        <f>ROUND(SUM('Stavební rozpočet'!AL12:AL723),1)</f>
      </c>
      <c r="D29" s="53" t="s">
        <v>50</v>
      </c>
      <c r="E29" s="50"/>
      <c r="F29" s="51">
        <f>ROUND(C29*(21/100),2)</f>
      </c>
      <c r="G29" s="53" t="s">
        <v>51</v>
      </c>
      <c r="H29" s="50"/>
      <c r="I29" s="51">
        <f>ROUND(SUM(F28:F29)+I28,1)</f>
      </c>
    </row>
    <row r="31">
      <c r="A31" s="54" t="s">
        <v>52</v>
      </c>
      <c r="B31" s="55"/>
      <c r="C31" s="56"/>
      <c r="D31" s="57" t="s">
        <v>53</v>
      </c>
      <c r="E31" s="55"/>
      <c r="F31" s="56"/>
      <c r="G31" s="57" t="s">
        <v>54</v>
      </c>
      <c r="H31" s="55"/>
      <c r="I31" s="56"/>
    </row>
    <row r="32">
      <c r="A32" s="58" t="s">
        <v>4</v>
      </c>
      <c r="B32" s="59"/>
      <c r="C32" s="60"/>
      <c r="D32" s="61" t="s">
        <v>4</v>
      </c>
      <c r="E32" s="59"/>
      <c r="F32" s="60"/>
      <c r="G32" s="61" t="s">
        <v>4</v>
      </c>
      <c r="H32" s="59"/>
      <c r="I32" s="60"/>
    </row>
    <row r="33">
      <c r="A33" s="58" t="s">
        <v>4</v>
      </c>
      <c r="B33" s="59"/>
      <c r="C33" s="60"/>
      <c r="D33" s="61" t="s">
        <v>4</v>
      </c>
      <c r="E33" s="59"/>
      <c r="F33" s="60"/>
      <c r="G33" s="61" t="s">
        <v>4</v>
      </c>
      <c r="H33" s="59"/>
      <c r="I33" s="60"/>
    </row>
    <row r="34">
      <c r="A34" s="58" t="s">
        <v>4</v>
      </c>
      <c r="B34" s="59"/>
      <c r="C34" s="60"/>
      <c r="D34" s="61" t="s">
        <v>4</v>
      </c>
      <c r="E34" s="59"/>
      <c r="F34" s="60"/>
      <c r="G34" s="61" t="s">
        <v>4</v>
      </c>
      <c r="H34" s="59"/>
      <c r="I34" s="60"/>
    </row>
    <row r="35">
      <c r="A35" s="62" t="s">
        <v>55</v>
      </c>
      <c r="B35" s="63"/>
      <c r="C35" s="64"/>
      <c r="D35" s="65" t="s">
        <v>55</v>
      </c>
      <c r="E35" s="63"/>
      <c r="F35" s="64"/>
      <c r="G35" s="65" t="s">
        <v>55</v>
      </c>
      <c r="H35" s="63"/>
      <c r="I35" s="64"/>
    </row>
    <row r="36">
      <c r="A36" s="66" t="s">
        <v>56</v>
      </c>
    </row>
    <row r="37" customHeight="true" ht="12.75">
      <c r="A37" s="14" t="s">
        <v>4</v>
      </c>
      <c r="B37" s="10"/>
      <c r="C37" s="10"/>
      <c r="D37" s="10"/>
      <c r="E37" s="10"/>
      <c r="F37" s="10"/>
      <c r="G37" s="10"/>
      <c r="H37" s="10"/>
      <c r="I37" s="10"/>
    </row>
  </sheetData>
  <mergeCells>
    <mergeCell ref="A1:I1"/>
    <mergeCell ref="A2:B3"/>
    <mergeCell ref="A4:B5"/>
    <mergeCell ref="A6:B7"/>
    <mergeCell ref="A8:B9"/>
    <mergeCell ref="A10:B11"/>
    <mergeCell ref="E2:E3"/>
    <mergeCell ref="E4:E5"/>
    <mergeCell ref="E6:E7"/>
    <mergeCell ref="E8:E9"/>
    <mergeCell ref="E10:E11"/>
    <mergeCell ref="C2:D3"/>
    <mergeCell ref="C4:D5"/>
    <mergeCell ref="C6:D7"/>
    <mergeCell ref="C8:D9"/>
    <mergeCell ref="C10:D11"/>
    <mergeCell ref="F2:G3"/>
    <mergeCell ref="F4:G5"/>
    <mergeCell ref="F6:G7"/>
    <mergeCell ref="F8:G9"/>
    <mergeCell ref="F10:G11"/>
    <mergeCell ref="H2:H3"/>
    <mergeCell ref="H4:H5"/>
    <mergeCell ref="H6:H7"/>
    <mergeCell ref="H8:H9"/>
    <mergeCell ref="H10:H11"/>
    <mergeCell ref="I2:I3"/>
    <mergeCell ref="I4:I5"/>
    <mergeCell ref="I6:I7"/>
    <mergeCell ref="I8:I9"/>
    <mergeCell ref="I10:I11"/>
    <mergeCell ref="A12:I12"/>
    <mergeCell ref="B13:C13"/>
    <mergeCell ref="E13:F13"/>
    <mergeCell ref="H13:I13"/>
    <mergeCell ref="A20:B20"/>
    <mergeCell ref="A21:B21"/>
    <mergeCell ref="A22:B22"/>
    <mergeCell ref="D14:E14"/>
    <mergeCell ref="D15:E15"/>
    <mergeCell ref="D16:E16"/>
    <mergeCell ref="D17:E17"/>
    <mergeCell ref="D18:E18"/>
    <mergeCell ref="D19:E19"/>
    <mergeCell ref="D20:E20"/>
    <mergeCell ref="D21:E21"/>
    <mergeCell ref="D22:E22"/>
    <mergeCell ref="D23:E23"/>
    <mergeCell ref="G14:H14"/>
    <mergeCell ref="G15:H15"/>
    <mergeCell ref="G16:H16"/>
    <mergeCell ref="G17:H17"/>
    <mergeCell ref="G18:H18"/>
    <mergeCell ref="G19:H19"/>
    <mergeCell ref="G20:H20"/>
    <mergeCell ref="G21:H21"/>
    <mergeCell ref="G22:H22"/>
    <mergeCell ref="G23:H23"/>
    <mergeCell ref="G24:H24"/>
    <mergeCell ref="G25:H25"/>
    <mergeCell ref="A27:B27"/>
    <mergeCell ref="A28:B28"/>
    <mergeCell ref="A29:B29"/>
    <mergeCell ref="D28:E28"/>
    <mergeCell ref="D29:E29"/>
    <mergeCell ref="G28:H28"/>
    <mergeCell ref="G29:H29"/>
    <mergeCell ref="A31:C31"/>
    <mergeCell ref="A32:C32"/>
    <mergeCell ref="A33:C33"/>
    <mergeCell ref="A34:C34"/>
    <mergeCell ref="A35:C35"/>
    <mergeCell ref="D31:F31"/>
    <mergeCell ref="D32:F32"/>
    <mergeCell ref="D33:F33"/>
    <mergeCell ref="D34:F34"/>
    <mergeCell ref="D35:F35"/>
    <mergeCell ref="G31:I31"/>
    <mergeCell ref="G32:I32"/>
    <mergeCell ref="G33:I33"/>
    <mergeCell ref="G34:I34"/>
    <mergeCell ref="G35:I35"/>
    <mergeCell ref="A37:I37"/>
  </mergeCells>
  <pageMargins left="0.393999993801117" top="0.591000020503998" right="0.393999993801117" bottom="0.591000020503998" header="0" footer="0"/>
  <pageSetup orientation="landscape" fitToHeight="1" fitToWidth="1" cellComments="none"/>
  <drawing r:id="rId1"/>
</worksheet>
</file>

<file path=xl/worksheets/sheet2.xml><?xml version="1.0" encoding="utf-8"?>
<worksheet xmlns:r="http://schemas.openxmlformats.org/officeDocument/2006/relationships" xmlns="http://schemas.openxmlformats.org/spreadsheetml/2006/main">
  <sheetPr>
    <outlinePr summaryBelow="true" summaryRight="true"/>
    <pageSetUpPr fitToPage="true"/>
  </sheetPr>
  <dimension ref="A1:I45"/>
  <sheetViews>
    <sheetView workbookViewId="0" showZeros="true" showFormulas="false" showGridLines="true" showRowColHeaders="true">
      <selection sqref="A45:E45" activeCell="A45"/>
    </sheetView>
  </sheetViews>
  <sheetFormatPr defaultColWidth="12.140625" customHeight="true" defaultRowHeight="15"/>
  <cols>
    <col max="1" min="1" style="0" width="9.140625" customWidth="true"/>
    <col max="2" min="2" style="0" width="12.85546875" customWidth="true"/>
    <col max="3" min="3" style="0" width="22.85546875" customWidth="true"/>
    <col max="4" min="4" style="0" width="10" customWidth="true"/>
    <col max="5" min="5" style="0" width="14" customWidth="true"/>
    <col max="6" min="6" style="0" width="22.85546875" customWidth="true"/>
    <col max="7" min="7" style="0" width="9.140625" customWidth="true"/>
    <col max="8" min="8" style="0" width="17.140625" customWidth="true"/>
    <col max="9" min="9" style="0" width="22.85546875" customWidth="true"/>
  </cols>
  <sheetData>
    <row r="1" customHeight="true" ht="54.75">
      <c r="A1" s="1" t="s">
        <v>57</v>
      </c>
      <c r="B1" s="2"/>
      <c r="C1" s="2"/>
      <c r="D1" s="2"/>
      <c r="E1" s="2"/>
      <c r="F1" s="2"/>
      <c r="G1" s="2"/>
      <c r="H1" s="2"/>
      <c r="I1" s="2"/>
    </row>
    <row r="2">
      <c r="A2" s="3" t="s">
        <v>1</v>
      </c>
      <c r="B2" s="4"/>
      <c r="C2" s="5">
        <f>'Stavební rozpočet'!C2</f>
      </c>
      <c r="D2" s="6"/>
      <c r="E2" s="7" t="s">
        <v>2</v>
      </c>
      <c r="F2" s="7">
        <f>'Stavební rozpočet'!I2</f>
      </c>
      <c r="G2" s="4"/>
      <c r="H2" s="7" t="s">
        <v>3</v>
      </c>
      <c r="I2" s="8" t="s">
        <v>4</v>
      </c>
    </row>
    <row r="3" customHeight="true" ht="25.5">
      <c r="A3" s="9"/>
      <c r="B3" s="10"/>
      <c r="C3" s="11"/>
      <c r="D3" s="11"/>
      <c r="E3" s="10"/>
      <c r="F3" s="10"/>
      <c r="G3" s="10"/>
      <c r="H3" s="10"/>
      <c r="I3" s="12"/>
    </row>
    <row r="4">
      <c r="A4" s="13" t="s">
        <v>5</v>
      </c>
      <c r="B4" s="10"/>
      <c r="C4" s="14">
        <f>'Stavební rozpočet'!C4</f>
      </c>
      <c r="D4" s="10"/>
      <c r="E4" s="14" t="s">
        <v>6</v>
      </c>
      <c r="F4" s="14">
        <f>'Stavební rozpočet'!I4</f>
      </c>
      <c r="G4" s="10"/>
      <c r="H4" s="14" t="s">
        <v>3</v>
      </c>
      <c r="I4" s="12" t="s">
        <v>4</v>
      </c>
    </row>
    <row r="5" customHeight="true" ht="15">
      <c r="A5" s="9"/>
      <c r="B5" s="10"/>
      <c r="C5" s="10"/>
      <c r="D5" s="10"/>
      <c r="E5" s="10"/>
      <c r="F5" s="10"/>
      <c r="G5" s="10"/>
      <c r="H5" s="10"/>
      <c r="I5" s="12"/>
    </row>
    <row r="6">
      <c r="A6" s="13" t="s">
        <v>7</v>
      </c>
      <c r="B6" s="10"/>
      <c r="C6" s="14">
        <f>'Stavební rozpočet'!C6</f>
      </c>
      <c r="D6" s="10"/>
      <c r="E6" s="14" t="s">
        <v>8</v>
      </c>
      <c r="F6" s="14">
        <f>'Stavební rozpočet'!I6</f>
      </c>
      <c r="G6" s="10"/>
      <c r="H6" s="14" t="s">
        <v>3</v>
      </c>
      <c r="I6" s="12" t="s">
        <v>4</v>
      </c>
    </row>
    <row r="7" customHeight="true" ht="15">
      <c r="A7" s="9"/>
      <c r="B7" s="10"/>
      <c r="C7" s="10"/>
      <c r="D7" s="10"/>
      <c r="E7" s="10"/>
      <c r="F7" s="10"/>
      <c r="G7" s="10"/>
      <c r="H7" s="10"/>
      <c r="I7" s="12"/>
    </row>
    <row r="8">
      <c r="A8" s="13" t="s">
        <v>9</v>
      </c>
      <c r="B8" s="10"/>
      <c r="C8" s="14">
        <f>'Stavební rozpočet'!G4</f>
      </c>
      <c r="D8" s="10"/>
      <c r="E8" s="14" t="s">
        <v>10</v>
      </c>
      <c r="F8" s="14">
        <f>'Stavební rozpočet'!G6</f>
      </c>
      <c r="G8" s="10"/>
      <c r="H8" s="10" t="s">
        <v>11</v>
      </c>
      <c r="I8" s="15" t="n">
        <v>209</v>
      </c>
    </row>
    <row r="9">
      <c r="A9" s="9"/>
      <c r="B9" s="10"/>
      <c r="C9" s="10"/>
      <c r="D9" s="10"/>
      <c r="E9" s="10"/>
      <c r="F9" s="10"/>
      <c r="G9" s="10"/>
      <c r="H9" s="10"/>
      <c r="I9" s="12"/>
    </row>
    <row r="10">
      <c r="A10" s="13" t="s">
        <v>12</v>
      </c>
      <c r="B10" s="10"/>
      <c r="C10" s="14">
        <f>'Stavební rozpočet'!C8</f>
      </c>
      <c r="D10" s="10"/>
      <c r="E10" s="14" t="s">
        <v>13</v>
      </c>
      <c r="F10" s="14">
        <f>'Stavební rozpočet'!I8</f>
      </c>
      <c r="G10" s="10"/>
      <c r="H10" s="10" t="s">
        <v>14</v>
      </c>
      <c r="I10" s="16">
        <f>'Stavební rozpočet'!G8</f>
      </c>
    </row>
    <row r="11">
      <c r="A11" s="17"/>
      <c r="B11" s="18"/>
      <c r="C11" s="18"/>
      <c r="D11" s="18"/>
      <c r="E11" s="18"/>
      <c r="F11" s="18"/>
      <c r="G11" s="18"/>
      <c r="H11" s="18"/>
      <c r="I11" s="19"/>
    </row>
    <row r="13">
      <c r="A13" s="67" t="s">
        <v>58</v>
      </c>
      <c r="B13" s="67"/>
      <c r="C13" s="67"/>
      <c r="D13" s="67"/>
      <c r="E13" s="67"/>
    </row>
    <row r="14">
      <c r="A14" s="68" t="s">
        <v>59</v>
      </c>
      <c r="B14" s="69"/>
      <c r="C14" s="69"/>
      <c r="D14" s="69"/>
      <c r="E14" s="70"/>
      <c r="F14" s="71" t="s">
        <v>60</v>
      </c>
      <c r="G14" s="71" t="s">
        <v>61</v>
      </c>
      <c r="H14" s="71" t="s">
        <v>62</v>
      </c>
      <c r="I14" s="71" t="s">
        <v>60</v>
      </c>
    </row>
    <row r="15">
      <c r="A15" s="72" t="s">
        <v>24</v>
      </c>
      <c r="B15" s="73"/>
      <c r="C15" s="73"/>
      <c r="D15" s="73"/>
      <c r="E15" s="74"/>
      <c r="F15" s="75" t="n">
        <v>0</v>
      </c>
      <c r="G15" s="76" t="s">
        <v>4</v>
      </c>
      <c r="H15" s="76" t="s">
        <v>4</v>
      </c>
      <c r="I15" s="75">
        <f>F15</f>
      </c>
    </row>
    <row r="16">
      <c r="A16" s="72" t="s">
        <v>27</v>
      </c>
      <c r="B16" s="73"/>
      <c r="C16" s="73"/>
      <c r="D16" s="73"/>
      <c r="E16" s="74"/>
      <c r="F16" s="75" t="n">
        <v>0</v>
      </c>
      <c r="G16" s="76" t="s">
        <v>4</v>
      </c>
      <c r="H16" s="76" t="s">
        <v>4</v>
      </c>
      <c r="I16" s="75">
        <f>F16</f>
      </c>
    </row>
    <row r="17">
      <c r="A17" s="77" t="s">
        <v>30</v>
      </c>
      <c r="B17" s="78"/>
      <c r="C17" s="78"/>
      <c r="D17" s="78"/>
      <c r="E17" s="79"/>
      <c r="F17" s="80" t="n">
        <v>0</v>
      </c>
      <c r="G17" s="81" t="s">
        <v>4</v>
      </c>
      <c r="H17" s="81" t="s">
        <v>4</v>
      </c>
      <c r="I17" s="80">
        <f>F17</f>
      </c>
    </row>
    <row r="18">
      <c r="A18" s="82" t="s">
        <v>63</v>
      </c>
      <c r="B18" s="83"/>
      <c r="C18" s="83"/>
      <c r="D18" s="83"/>
      <c r="E18" s="84"/>
      <c r="F18" s="85" t="s">
        <v>4</v>
      </c>
      <c r="G18" s="86" t="s">
        <v>4</v>
      </c>
      <c r="H18" s="86" t="s">
        <v>4</v>
      </c>
      <c r="I18" s="87">
        <f>SUM(I15:I17)</f>
      </c>
    </row>
    <row r="20">
      <c r="A20" s="68" t="s">
        <v>21</v>
      </c>
      <c r="B20" s="69"/>
      <c r="C20" s="69"/>
      <c r="D20" s="69"/>
      <c r="E20" s="70"/>
      <c r="F20" s="71" t="s">
        <v>60</v>
      </c>
      <c r="G20" s="71" t="s">
        <v>61</v>
      </c>
      <c r="H20" s="71" t="s">
        <v>62</v>
      </c>
      <c r="I20" s="71" t="s">
        <v>60</v>
      </c>
    </row>
    <row r="21">
      <c r="A21" s="72" t="s">
        <v>25</v>
      </c>
      <c r="B21" s="73"/>
      <c r="C21" s="73"/>
      <c r="D21" s="73"/>
      <c r="E21" s="74"/>
      <c r="F21" s="75" t="n">
        <v>0</v>
      </c>
      <c r="G21" s="76" t="s">
        <v>4</v>
      </c>
      <c r="H21" s="76" t="s">
        <v>4</v>
      </c>
      <c r="I21" s="75">
        <f>F21</f>
      </c>
    </row>
    <row r="22">
      <c r="A22" s="72" t="s">
        <v>28</v>
      </c>
      <c r="B22" s="73"/>
      <c r="C22" s="73"/>
      <c r="D22" s="73"/>
      <c r="E22" s="74"/>
      <c r="F22" s="75" t="n">
        <v>0</v>
      </c>
      <c r="G22" s="76" t="s">
        <v>4</v>
      </c>
      <c r="H22" s="76" t="s">
        <v>4</v>
      </c>
      <c r="I22" s="75">
        <f>F22</f>
      </c>
    </row>
    <row r="23">
      <c r="A23" s="72" t="s">
        <v>31</v>
      </c>
      <c r="B23" s="73"/>
      <c r="C23" s="73"/>
      <c r="D23" s="73"/>
      <c r="E23" s="74"/>
      <c r="F23" s="75" t="n">
        <v>0</v>
      </c>
      <c r="G23" s="76" t="s">
        <v>4</v>
      </c>
      <c r="H23" s="76" t="s">
        <v>4</v>
      </c>
      <c r="I23" s="75">
        <f>F23</f>
      </c>
    </row>
    <row r="24">
      <c r="A24" s="72" t="s">
        <v>32</v>
      </c>
      <c r="B24" s="73"/>
      <c r="C24" s="73"/>
      <c r="D24" s="73"/>
      <c r="E24" s="74"/>
      <c r="F24" s="75" t="n">
        <v>0</v>
      </c>
      <c r="G24" s="76" t="s">
        <v>4</v>
      </c>
      <c r="H24" s="76" t="s">
        <v>4</v>
      </c>
      <c r="I24" s="75">
        <f>F24</f>
      </c>
    </row>
    <row r="25">
      <c r="A25" s="72" t="s">
        <v>34</v>
      </c>
      <c r="B25" s="73"/>
      <c r="C25" s="73"/>
      <c r="D25" s="73"/>
      <c r="E25" s="74"/>
      <c r="F25" s="75" t="n">
        <v>0</v>
      </c>
      <c r="G25" s="76" t="s">
        <v>4</v>
      </c>
      <c r="H25" s="76" t="s">
        <v>4</v>
      </c>
      <c r="I25" s="75">
        <f>F25</f>
      </c>
    </row>
    <row r="26">
      <c r="A26" s="77" t="s">
        <v>35</v>
      </c>
      <c r="B26" s="78"/>
      <c r="C26" s="78"/>
      <c r="D26" s="78"/>
      <c r="E26" s="79"/>
      <c r="F26" s="80" t="n">
        <v>0</v>
      </c>
      <c r="G26" s="81" t="s">
        <v>4</v>
      </c>
      <c r="H26" s="81" t="s">
        <v>4</v>
      </c>
      <c r="I26" s="80">
        <f>F26</f>
      </c>
    </row>
    <row r="27">
      <c r="A27" s="82" t="s">
        <v>64</v>
      </c>
      <c r="B27" s="83"/>
      <c r="C27" s="83"/>
      <c r="D27" s="83"/>
      <c r="E27" s="84"/>
      <c r="F27" s="85" t="s">
        <v>4</v>
      </c>
      <c r="G27" s="86" t="s">
        <v>4</v>
      </c>
      <c r="H27" s="86" t="s">
        <v>4</v>
      </c>
      <c r="I27" s="87">
        <f>SUM(I21:I26)</f>
      </c>
    </row>
    <row r="29">
      <c r="A29" s="88" t="s">
        <v>65</v>
      </c>
      <c r="B29" s="89"/>
      <c r="C29" s="89"/>
      <c r="D29" s="89"/>
      <c r="E29" s="90"/>
      <c r="F29" s="91">
        <f>I18+I27</f>
      </c>
      <c r="G29" s="92"/>
      <c r="H29" s="92"/>
      <c r="I29" s="93"/>
    </row>
    <row r="33">
      <c r="A33" s="67" t="s">
        <v>66</v>
      </c>
      <c r="B33" s="67"/>
      <c r="C33" s="67"/>
      <c r="D33" s="67"/>
      <c r="E33" s="67"/>
    </row>
    <row r="34">
      <c r="A34" s="68" t="s">
        <v>67</v>
      </c>
      <c r="B34" s="69"/>
      <c r="C34" s="69"/>
      <c r="D34" s="69"/>
      <c r="E34" s="70"/>
      <c r="F34" s="71" t="s">
        <v>60</v>
      </c>
      <c r="G34" s="71" t="s">
        <v>61</v>
      </c>
      <c r="H34" s="71" t="s">
        <v>62</v>
      </c>
      <c r="I34" s="71" t="s">
        <v>60</v>
      </c>
    </row>
    <row r="35">
      <c r="A35" s="72" t="s">
        <v>68</v>
      </c>
      <c r="B35" s="73"/>
      <c r="C35" s="73"/>
      <c r="D35" s="73"/>
      <c r="E35" s="74"/>
      <c r="F35" s="75">
        <f>SUM('Stavební rozpočet'!BM12:BM723)</f>
      </c>
      <c r="G35" s="76" t="s">
        <v>4</v>
      </c>
      <c r="H35" s="76" t="s">
        <v>4</v>
      </c>
      <c r="I35" s="75">
        <f>F35</f>
      </c>
    </row>
    <row r="36">
      <c r="A36" s="72" t="s">
        <v>69</v>
      </c>
      <c r="B36" s="73"/>
      <c r="C36" s="73"/>
      <c r="D36" s="73"/>
      <c r="E36" s="74"/>
      <c r="F36" s="75">
        <f>SUM('Stavební rozpočet'!BN12:BN723)</f>
      </c>
      <c r="G36" s="76" t="s">
        <v>4</v>
      </c>
      <c r="H36" s="76" t="s">
        <v>4</v>
      </c>
      <c r="I36" s="75">
        <f>F36</f>
      </c>
    </row>
    <row r="37">
      <c r="A37" s="72" t="s">
        <v>25</v>
      </c>
      <c r="B37" s="73"/>
      <c r="C37" s="73"/>
      <c r="D37" s="73"/>
      <c r="E37" s="74"/>
      <c r="F37" s="75">
        <f>SUM('Stavební rozpočet'!BO12:BO723)</f>
      </c>
      <c r="G37" s="76" t="s">
        <v>4</v>
      </c>
      <c r="H37" s="76" t="s">
        <v>4</v>
      </c>
      <c r="I37" s="75">
        <f>F37</f>
      </c>
    </row>
    <row r="38">
      <c r="A38" s="72" t="s">
        <v>70</v>
      </c>
      <c r="B38" s="73"/>
      <c r="C38" s="73"/>
      <c r="D38" s="73"/>
      <c r="E38" s="74"/>
      <c r="F38" s="75">
        <f>SUM('Stavební rozpočet'!BP12:BP723)</f>
      </c>
      <c r="G38" s="76" t="s">
        <v>4</v>
      </c>
      <c r="H38" s="76" t="s">
        <v>4</v>
      </c>
      <c r="I38" s="75">
        <f>F38</f>
      </c>
    </row>
    <row r="39">
      <c r="A39" s="72" t="s">
        <v>71</v>
      </c>
      <c r="B39" s="73"/>
      <c r="C39" s="73"/>
      <c r="D39" s="73"/>
      <c r="E39" s="74"/>
      <c r="F39" s="75">
        <f>SUM('Stavební rozpočet'!BQ12:BQ723)</f>
      </c>
      <c r="G39" s="76" t="s">
        <v>4</v>
      </c>
      <c r="H39" s="76" t="s">
        <v>4</v>
      </c>
      <c r="I39" s="75">
        <f>F39</f>
      </c>
    </row>
    <row r="40">
      <c r="A40" s="72" t="s">
        <v>31</v>
      </c>
      <c r="B40" s="73"/>
      <c r="C40" s="73"/>
      <c r="D40" s="73"/>
      <c r="E40" s="74"/>
      <c r="F40" s="75">
        <f>SUM('Stavební rozpočet'!BR12:BR723)</f>
      </c>
      <c r="G40" s="76" t="s">
        <v>4</v>
      </c>
      <c r="H40" s="76" t="s">
        <v>4</v>
      </c>
      <c r="I40" s="75">
        <f>F40</f>
      </c>
    </row>
    <row r="41">
      <c r="A41" s="72" t="s">
        <v>32</v>
      </c>
      <c r="B41" s="73"/>
      <c r="C41" s="73"/>
      <c r="D41" s="73"/>
      <c r="E41" s="74"/>
      <c r="F41" s="75">
        <f>SUM('Stavební rozpočet'!BS12:BS723)</f>
      </c>
      <c r="G41" s="76" t="s">
        <v>4</v>
      </c>
      <c r="H41" s="76" t="s">
        <v>4</v>
      </c>
      <c r="I41" s="75">
        <f>F41</f>
      </c>
    </row>
    <row r="42">
      <c r="A42" s="72" t="s">
        <v>72</v>
      </c>
      <c r="B42" s="73"/>
      <c r="C42" s="73"/>
      <c r="D42" s="73"/>
      <c r="E42" s="74"/>
      <c r="F42" s="75">
        <f>SUM('Stavební rozpočet'!BT12:BT723)</f>
      </c>
      <c r="G42" s="76" t="s">
        <v>4</v>
      </c>
      <c r="H42" s="76" t="s">
        <v>4</v>
      </c>
      <c r="I42" s="75">
        <f>F42</f>
      </c>
    </row>
    <row r="43">
      <c r="A43" s="72" t="s">
        <v>73</v>
      </c>
      <c r="B43" s="73"/>
      <c r="C43" s="73"/>
      <c r="D43" s="73"/>
      <c r="E43" s="74"/>
      <c r="F43" s="75">
        <f>SUM('Stavební rozpočet'!BU12:BU723)</f>
      </c>
      <c r="G43" s="76" t="s">
        <v>4</v>
      </c>
      <c r="H43" s="76" t="s">
        <v>4</v>
      </c>
      <c r="I43" s="75">
        <f>F43</f>
      </c>
    </row>
    <row r="44">
      <c r="A44" s="77" t="s">
        <v>74</v>
      </c>
      <c r="B44" s="78"/>
      <c r="C44" s="78"/>
      <c r="D44" s="78"/>
      <c r="E44" s="79"/>
      <c r="F44" s="80">
        <f>SUM('Stavební rozpočet'!BV12:BV723)</f>
      </c>
      <c r="G44" s="81" t="s">
        <v>4</v>
      </c>
      <c r="H44" s="81" t="s">
        <v>4</v>
      </c>
      <c r="I44" s="80">
        <f>F44</f>
      </c>
    </row>
    <row r="45">
      <c r="A45" s="82" t="s">
        <v>75</v>
      </c>
      <c r="B45" s="83"/>
      <c r="C45" s="83"/>
      <c r="D45" s="83"/>
      <c r="E45" s="84"/>
      <c r="F45" s="85" t="s">
        <v>4</v>
      </c>
      <c r="G45" s="86" t="s">
        <v>4</v>
      </c>
      <c r="H45" s="86" t="s">
        <v>4</v>
      </c>
      <c r="I45" s="87">
        <f>SUM(I35:I44)</f>
      </c>
    </row>
  </sheetData>
  <mergeCells>
    <mergeCell ref="A1:I1"/>
    <mergeCell ref="A2:B3"/>
    <mergeCell ref="A4:B5"/>
    <mergeCell ref="A6:B7"/>
    <mergeCell ref="A8:B9"/>
    <mergeCell ref="A10:B11"/>
    <mergeCell ref="E2:E3"/>
    <mergeCell ref="E4:E5"/>
    <mergeCell ref="E6:E7"/>
    <mergeCell ref="E8:E9"/>
    <mergeCell ref="E10:E11"/>
    <mergeCell ref="H2:H3"/>
    <mergeCell ref="H4:H5"/>
    <mergeCell ref="H6:H7"/>
    <mergeCell ref="H8:H9"/>
    <mergeCell ref="H10:H11"/>
    <mergeCell ref="C2:D3"/>
    <mergeCell ref="C4:D5"/>
    <mergeCell ref="C6:D7"/>
    <mergeCell ref="C8:D9"/>
    <mergeCell ref="C10:D11"/>
    <mergeCell ref="F2:G3"/>
    <mergeCell ref="F4:G5"/>
    <mergeCell ref="F6:G7"/>
    <mergeCell ref="F8:G9"/>
    <mergeCell ref="F10:G11"/>
    <mergeCell ref="I2:I3"/>
    <mergeCell ref="I4:I5"/>
    <mergeCell ref="I6:I7"/>
    <mergeCell ref="I8:I9"/>
    <mergeCell ref="I10:I11"/>
    <mergeCell ref="A13:E13"/>
    <mergeCell ref="A14:E14"/>
    <mergeCell ref="A15:E15"/>
    <mergeCell ref="A16:E16"/>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 ref="A37:E37"/>
    <mergeCell ref="A38:E38"/>
    <mergeCell ref="A39:E39"/>
    <mergeCell ref="A40:E40"/>
    <mergeCell ref="A41:E41"/>
    <mergeCell ref="A42:E42"/>
    <mergeCell ref="A43:E43"/>
    <mergeCell ref="A44:E44"/>
    <mergeCell ref="A45:E45"/>
  </mergeCells>
  <pageMargins left="0.393999993801117" top="0.591000020503998" right="0.393999993801117" bottom="0.591000020503998" header="0" footer="0"/>
  <pageSetup orientation="landscape" fitToHeight="0" fitToWidth="1" cellComments="none"/>
  <drawing r:id="rId1"/>
</worksheet>
</file>

<file path=xl/worksheets/sheet3.xml><?xml version="1.0" encoding="utf-8"?>
<worksheet xmlns:r="http://schemas.openxmlformats.org/officeDocument/2006/relationships" xmlns="http://schemas.openxmlformats.org/spreadsheetml/2006/main">
  <sheetPr>
    <outlinePr summaryBelow="true" summaryRight="true"/>
    <pageSetUpPr fitToPage="true"/>
  </sheetPr>
  <dimension ref="A1:P50"/>
  <sheetViews>
    <sheetView workbookViewId="0" showZeros="true" showFormulas="false" showGridLines="true" showRowColHeaders="true">
      <pane topLeftCell="A12" state="frozen" activePane="bottomLeft" ySplit="11"/>
      <selection pane="bottomLeft" sqref="A50:L50" activeCell="A50"/>
    </sheetView>
  </sheetViews>
  <sheetFormatPr defaultColWidth="12.140625" customHeight="true" defaultRowHeight="15"/>
  <cols>
    <col max="1" min="1" style="0" width="5.7109375" customWidth="true"/>
    <col max="9" min="2" style="0" width="15.7109375" customWidth="true"/>
    <col max="12" min="10" style="0" width="14.28515625" customWidth="true"/>
    <col max="16" min="13" style="0" width="12.140625" hidden="true"/>
  </cols>
  <sheetData>
    <row r="1" customHeight="true" ht="54.75">
      <c r="A1" s="2" t="s">
        <v>76</v>
      </c>
      <c r="B1" s="2"/>
      <c r="C1" s="2"/>
      <c r="D1" s="2"/>
      <c r="E1" s="2"/>
      <c r="F1" s="2"/>
      <c r="G1" s="2"/>
      <c r="H1" s="2"/>
      <c r="I1" s="2"/>
      <c r="J1" s="2"/>
      <c r="K1" s="2"/>
      <c r="L1" s="2"/>
    </row>
    <row r="2">
      <c r="A2" s="3" t="s">
        <v>1</v>
      </c>
      <c r="B2" s="4"/>
      <c r="C2" s="4"/>
      <c r="D2" s="5">
        <f>'Stavební rozpočet'!C2</f>
      </c>
      <c r="E2" s="6"/>
      <c r="F2" s="6"/>
      <c r="G2" s="7" t="s">
        <v>77</v>
      </c>
      <c r="H2" s="7">
        <f>'Stavební rozpočet'!G2</f>
      </c>
      <c r="I2" s="7" t="s">
        <v>2</v>
      </c>
      <c r="J2" s="7">
        <f>'Stavební rozpočet'!I2</f>
      </c>
      <c r="K2" s="4"/>
      <c r="L2" s="8"/>
    </row>
    <row r="3" customHeight="true" ht="15">
      <c r="A3" s="9"/>
      <c r="B3" s="10"/>
      <c r="C3" s="10"/>
      <c r="D3" s="11"/>
      <c r="E3" s="11"/>
      <c r="F3" s="11"/>
      <c r="G3" s="10"/>
      <c r="H3" s="10"/>
      <c r="I3" s="10"/>
      <c r="J3" s="10"/>
      <c r="K3" s="10"/>
      <c r="L3" s="12"/>
    </row>
    <row r="4">
      <c r="A4" s="13" t="s">
        <v>5</v>
      </c>
      <c r="B4" s="10"/>
      <c r="C4" s="10"/>
      <c r="D4" s="14">
        <f>'Stavební rozpočet'!C4</f>
      </c>
      <c r="E4" s="10"/>
      <c r="F4" s="10"/>
      <c r="G4" s="14" t="s">
        <v>9</v>
      </c>
      <c r="H4" s="14">
        <f>'Stavební rozpočet'!G4</f>
      </c>
      <c r="I4" s="14" t="s">
        <v>6</v>
      </c>
      <c r="J4" s="14">
        <f>'Stavební rozpočet'!I4</f>
      </c>
      <c r="K4" s="10"/>
      <c r="L4" s="12"/>
    </row>
    <row r="5" customHeight="true" ht="15">
      <c r="A5" s="9"/>
      <c r="B5" s="10"/>
      <c r="C5" s="10"/>
      <c r="D5" s="10"/>
      <c r="E5" s="10"/>
      <c r="F5" s="10"/>
      <c r="G5" s="10"/>
      <c r="H5" s="10"/>
      <c r="I5" s="10"/>
      <c r="J5" s="10"/>
      <c r="K5" s="10"/>
      <c r="L5" s="12"/>
    </row>
    <row r="6">
      <c r="A6" s="13" t="s">
        <v>7</v>
      </c>
      <c r="B6" s="10"/>
      <c r="C6" s="10"/>
      <c r="D6" s="14">
        <f>'Stavební rozpočet'!C6</f>
      </c>
      <c r="E6" s="10"/>
      <c r="F6" s="10"/>
      <c r="G6" s="14" t="s">
        <v>10</v>
      </c>
      <c r="H6" s="14">
        <f>'Stavební rozpočet'!G6</f>
      </c>
      <c r="I6" s="14" t="s">
        <v>8</v>
      </c>
      <c r="J6" s="14">
        <f>'Stavební rozpočet'!I6</f>
      </c>
      <c r="K6" s="10"/>
      <c r="L6" s="12"/>
    </row>
    <row r="7" customHeight="true" ht="15">
      <c r="A7" s="9"/>
      <c r="B7" s="10"/>
      <c r="C7" s="10"/>
      <c r="D7" s="10"/>
      <c r="E7" s="10"/>
      <c r="F7" s="10"/>
      <c r="G7" s="10"/>
      <c r="H7" s="10"/>
      <c r="I7" s="10"/>
      <c r="J7" s="10"/>
      <c r="K7" s="10"/>
      <c r="L7" s="12"/>
    </row>
    <row r="8">
      <c r="A8" s="13" t="s">
        <v>12</v>
      </c>
      <c r="B8" s="10"/>
      <c r="C8" s="10"/>
      <c r="D8" s="14">
        <f>'Stavební rozpočet'!C8</f>
      </c>
      <c r="E8" s="10"/>
      <c r="F8" s="10"/>
      <c r="G8" s="14" t="s">
        <v>78</v>
      </c>
      <c r="H8" s="14">
        <f>'Stavební rozpočet'!G8</f>
      </c>
      <c r="I8" s="14" t="s">
        <v>13</v>
      </c>
      <c r="J8" s="14">
        <f>'Stavební rozpočet'!I8</f>
      </c>
      <c r="K8" s="10"/>
      <c r="L8" s="12"/>
    </row>
    <row r="9">
      <c r="A9" s="94"/>
      <c r="B9" s="95"/>
      <c r="C9" s="95"/>
      <c r="D9" s="95"/>
      <c r="E9" s="95"/>
      <c r="F9" s="95"/>
      <c r="G9" s="95"/>
      <c r="H9" s="95"/>
      <c r="I9" s="95"/>
      <c r="J9" s="95"/>
      <c r="K9" s="95"/>
      <c r="L9" s="96"/>
    </row>
    <row r="10">
      <c r="A10" s="97" t="s">
        <v>79</v>
      </c>
      <c r="B10" s="98" t="s">
        <v>79</v>
      </c>
      <c r="C10" s="99"/>
      <c r="D10" s="99"/>
      <c r="E10" s="99"/>
      <c r="F10" s="99"/>
      <c r="G10" s="99"/>
      <c r="H10" s="99"/>
      <c r="I10" s="100"/>
      <c r="J10" s="101" t="s">
        <v>80</v>
      </c>
      <c r="K10" s="102"/>
      <c r="L10" s="103"/>
    </row>
    <row r="11">
      <c r="A11" s="104" t="s">
        <v>81</v>
      </c>
      <c r="B11" s="105" t="s">
        <v>82</v>
      </c>
      <c r="C11" s="106"/>
      <c r="D11" s="106"/>
      <c r="E11" s="106"/>
      <c r="F11" s="106"/>
      <c r="G11" s="106"/>
      <c r="H11" s="106"/>
      <c r="I11" s="107"/>
      <c r="J11" s="108" t="s">
        <v>83</v>
      </c>
      <c r="K11" s="109" t="s">
        <v>26</v>
      </c>
      <c r="L11" s="110" t="s">
        <v>84</v>
      </c>
    </row>
    <row r="12">
      <c r="A12" s="111" t="s">
        <v>4</v>
      </c>
      <c r="B12" s="112" t="s">
        <v>85</v>
      </c>
      <c r="C12" s="112"/>
      <c r="D12" s="112"/>
      <c r="E12" s="112"/>
      <c r="F12" s="112"/>
      <c r="G12" s="112"/>
      <c r="H12" s="112"/>
      <c r="I12" s="112"/>
      <c r="J12" s="113">
        <f>'Stavební rozpočet'!H12</f>
      </c>
      <c r="K12" s="113">
        <f>'Stavební rozpočet'!I12</f>
      </c>
      <c r="L12" s="114">
        <f>'Stavební rozpočet'!J12</f>
      </c>
      <c r="M12" s="115" t="s">
        <v>86</v>
      </c>
      <c r="N12" s="116">
        <f>IF(M12="F",0,L12)</f>
      </c>
      <c r="O12" s="10" t="s">
        <v>87</v>
      </c>
      <c r="P12" s="116">
        <f>IF(M12="T",0,L12)</f>
      </c>
    </row>
    <row r="13">
      <c r="A13" s="9" t="s">
        <v>88</v>
      </c>
      <c r="B13" s="10" t="s">
        <v>89</v>
      </c>
      <c r="C13" s="10"/>
      <c r="D13" s="10"/>
      <c r="E13" s="10"/>
      <c r="F13" s="10"/>
      <c r="G13" s="10"/>
      <c r="H13" s="10"/>
      <c r="I13" s="10"/>
      <c r="J13" s="116">
        <f>SUMIF('Stavební rozpočet'!AZ13:AZ723,"SO01_1_",'Stavební rozpočet'!AW13:AW723)</f>
      </c>
      <c r="K13" s="116">
        <f>SUMIF('Stavební rozpočet'!AZ13:AZ723,"SO01_1_",'Stavební rozpočet'!AX13:AX723)</f>
      </c>
      <c r="L13" s="117">
        <f>SUMIF('Stavební rozpočet'!AZ13:AZ723,"SO01_1_",'Stavební rozpočet'!AV13:AV723)</f>
      </c>
      <c r="M13" s="115" t="s">
        <v>90</v>
      </c>
      <c r="N13" s="116">
        <f>IF(M13="F",0,L13)</f>
      </c>
      <c r="O13" s="10" t="s">
        <v>87</v>
      </c>
      <c r="P13" s="116">
        <f>IF(M13="T",0,L13)</f>
      </c>
    </row>
    <row r="14">
      <c r="A14" s="9" t="s">
        <v>91</v>
      </c>
      <c r="B14" s="10" t="s">
        <v>92</v>
      </c>
      <c r="C14" s="10"/>
      <c r="D14" s="10"/>
      <c r="E14" s="10"/>
      <c r="F14" s="10"/>
      <c r="G14" s="10"/>
      <c r="H14" s="10"/>
      <c r="I14" s="10"/>
      <c r="J14" s="116">
        <f>SUMIF('Stavební rozpočet'!AZ13:AZ723,"SO01_3_",'Stavební rozpočet'!AW13:AW723)</f>
      </c>
      <c r="K14" s="116">
        <f>SUMIF('Stavební rozpočet'!AZ13:AZ723,"SO01_3_",'Stavební rozpočet'!AX13:AX723)</f>
      </c>
      <c r="L14" s="117">
        <f>SUMIF('Stavební rozpočet'!AZ13:AZ723,"SO01_3_",'Stavební rozpočet'!AV13:AV723)</f>
      </c>
      <c r="M14" s="115" t="s">
        <v>90</v>
      </c>
      <c r="N14" s="116">
        <f>IF(M14="F",0,L14)</f>
      </c>
      <c r="O14" s="10" t="s">
        <v>87</v>
      </c>
      <c r="P14" s="116">
        <f>IF(M14="T",0,L14)</f>
      </c>
    </row>
    <row r="15">
      <c r="A15" s="9" t="s">
        <v>93</v>
      </c>
      <c r="B15" s="10" t="s">
        <v>94</v>
      </c>
      <c r="C15" s="10"/>
      <c r="D15" s="10"/>
      <c r="E15" s="10"/>
      <c r="F15" s="10"/>
      <c r="G15" s="10"/>
      <c r="H15" s="10"/>
      <c r="I15" s="10"/>
      <c r="J15" s="116">
        <f>SUMIF('Stavební rozpočet'!AZ13:AZ723,"SO01_5_",'Stavební rozpočet'!AW13:AW723)</f>
      </c>
      <c r="K15" s="116">
        <f>SUMIF('Stavební rozpočet'!AZ13:AZ723,"SO01_5_",'Stavební rozpočet'!AX13:AX723)</f>
      </c>
      <c r="L15" s="117">
        <f>SUMIF('Stavební rozpočet'!AZ13:AZ723,"SO01_5_",'Stavební rozpočet'!AV13:AV723)</f>
      </c>
      <c r="M15" s="115" t="s">
        <v>90</v>
      </c>
      <c r="N15" s="116">
        <f>IF(M15="F",0,L15)</f>
      </c>
      <c r="O15" s="10" t="s">
        <v>87</v>
      </c>
      <c r="P15" s="116">
        <f>IF(M15="T",0,L15)</f>
      </c>
    </row>
    <row r="16">
      <c r="A16" s="9" t="s">
        <v>95</v>
      </c>
      <c r="B16" s="10" t="s">
        <v>96</v>
      </c>
      <c r="C16" s="10"/>
      <c r="D16" s="10"/>
      <c r="E16" s="10"/>
      <c r="F16" s="10"/>
      <c r="G16" s="10"/>
      <c r="H16" s="10"/>
      <c r="I16" s="10"/>
      <c r="J16" s="116">
        <f>SUMIF('Stavební rozpočet'!AZ13:AZ723,"SO01_76_",'Stavební rozpočet'!AW13:AW723)</f>
      </c>
      <c r="K16" s="116">
        <f>SUMIF('Stavební rozpočet'!AZ13:AZ723,"SO01_76_",'Stavební rozpočet'!AX13:AX723)</f>
      </c>
      <c r="L16" s="117">
        <f>SUMIF('Stavební rozpočet'!AZ13:AZ723,"SO01_76_",'Stavební rozpočet'!AV13:AV723)</f>
      </c>
      <c r="M16" s="115" t="s">
        <v>90</v>
      </c>
      <c r="N16" s="116">
        <f>IF(M16="F",0,L16)</f>
      </c>
      <c r="O16" s="10" t="s">
        <v>87</v>
      </c>
      <c r="P16" s="116">
        <f>IF(M16="T",0,L16)</f>
      </c>
    </row>
    <row r="17">
      <c r="A17" s="9" t="s">
        <v>97</v>
      </c>
      <c r="B17" s="10" t="s">
        <v>98</v>
      </c>
      <c r="C17" s="10"/>
      <c r="D17" s="10"/>
      <c r="E17" s="10"/>
      <c r="F17" s="10"/>
      <c r="G17" s="10"/>
      <c r="H17" s="10"/>
      <c r="I17" s="10"/>
      <c r="J17" s="116">
        <f>SUMIF('Stavební rozpočet'!AZ13:AZ723,"SO01_78_",'Stavební rozpočet'!AW13:AW723)</f>
      </c>
      <c r="K17" s="116">
        <f>SUMIF('Stavební rozpočet'!AZ13:AZ723,"SO01_78_",'Stavební rozpočet'!AX13:AX723)</f>
      </c>
      <c r="L17" s="117">
        <f>SUMIF('Stavební rozpočet'!AZ13:AZ723,"SO01_78_",'Stavební rozpočet'!AV13:AV723)</f>
      </c>
      <c r="M17" s="115" t="s">
        <v>90</v>
      </c>
      <c r="N17" s="116">
        <f>IF(M17="F",0,L17)</f>
      </c>
      <c r="O17" s="10" t="s">
        <v>87</v>
      </c>
      <c r="P17" s="116">
        <f>IF(M17="T",0,L17)</f>
      </c>
    </row>
    <row r="18">
      <c r="A18" s="9" t="s">
        <v>99</v>
      </c>
      <c r="B18" s="10" t="s">
        <v>100</v>
      </c>
      <c r="C18" s="10"/>
      <c r="D18" s="10"/>
      <c r="E18" s="10"/>
      <c r="F18" s="10"/>
      <c r="G18" s="10"/>
      <c r="H18" s="10"/>
      <c r="I18" s="10"/>
      <c r="J18" s="116">
        <f>SUMIF('Stavební rozpočet'!AZ13:AZ723,"SO01_9_",'Stavební rozpočet'!AW13:AW723)</f>
      </c>
      <c r="K18" s="116">
        <f>SUMIF('Stavební rozpočet'!AZ13:AZ723,"SO01_9_",'Stavební rozpočet'!AX13:AX723)</f>
      </c>
      <c r="L18" s="117">
        <f>SUMIF('Stavební rozpočet'!AZ13:AZ723,"SO01_9_",'Stavební rozpočet'!AV13:AV723)</f>
      </c>
      <c r="M18" s="115" t="s">
        <v>90</v>
      </c>
      <c r="N18" s="116">
        <f>IF(M18="F",0,L18)</f>
      </c>
      <c r="O18" s="10" t="s">
        <v>87</v>
      </c>
      <c r="P18" s="116">
        <f>IF(M18="T",0,L18)</f>
      </c>
    </row>
    <row r="19">
      <c r="A19" s="9" t="s">
        <v>101</v>
      </c>
      <c r="B19" s="10" t="s">
        <v>4</v>
      </c>
      <c r="C19" s="10"/>
      <c r="D19" s="10"/>
      <c r="E19" s="10"/>
      <c r="F19" s="10"/>
      <c r="G19" s="10"/>
      <c r="H19" s="10"/>
      <c r="I19" s="10"/>
      <c r="J19" s="116">
        <f>SUMIF('Stavební rozpočet'!AZ13:AZ723,"SO01_Â _",'Stavební rozpočet'!AW13:AW723)</f>
      </c>
      <c r="K19" s="116">
        <f>SUMIF('Stavební rozpočet'!AZ13:AZ723,"SO01_Â _",'Stavební rozpočet'!AX13:AX723)</f>
      </c>
      <c r="L19" s="117">
        <f>SUMIF('Stavební rozpočet'!AZ13:AZ723,"SO01_Â _",'Stavební rozpočet'!AV13:AV723)</f>
      </c>
      <c r="M19" s="115" t="s">
        <v>90</v>
      </c>
      <c r="N19" s="116">
        <f>IF(M19="F",0,L19)</f>
      </c>
      <c r="O19" s="10" t="s">
        <v>87</v>
      </c>
      <c r="P19" s="116">
        <f>IF(M19="T",0,L19)</f>
      </c>
    </row>
    <row r="20">
      <c r="A20" s="9" t="s">
        <v>4</v>
      </c>
      <c r="B20" s="10" t="s">
        <v>102</v>
      </c>
      <c r="C20" s="10"/>
      <c r="D20" s="10"/>
      <c r="E20" s="10"/>
      <c r="F20" s="10"/>
      <c r="G20" s="10"/>
      <c r="H20" s="10"/>
      <c r="I20" s="10"/>
      <c r="J20" s="116">
        <f>'Stavební rozpočet'!H83</f>
      </c>
      <c r="K20" s="116">
        <f>'Stavební rozpočet'!I83</f>
      </c>
      <c r="L20" s="117">
        <f>'Stavební rozpočet'!J83</f>
      </c>
      <c r="M20" s="115" t="s">
        <v>86</v>
      </c>
      <c r="N20" s="116">
        <f>IF(M20="F",0,L20)</f>
      </c>
      <c r="O20" s="10" t="s">
        <v>103</v>
      </c>
      <c r="P20" s="116">
        <f>IF(M20="T",0,L20)</f>
      </c>
    </row>
    <row r="21">
      <c r="A21" s="9" t="s">
        <v>88</v>
      </c>
      <c r="B21" s="10" t="s">
        <v>89</v>
      </c>
      <c r="C21" s="10"/>
      <c r="D21" s="10"/>
      <c r="E21" s="10"/>
      <c r="F21" s="10"/>
      <c r="G21" s="10"/>
      <c r="H21" s="10"/>
      <c r="I21" s="10"/>
      <c r="J21" s="116">
        <f>SUMIF('Stavební rozpočet'!AZ13:AZ723,"SO02_1_",'Stavební rozpočet'!AW13:AW723)</f>
      </c>
      <c r="K21" s="116">
        <f>SUMIF('Stavební rozpočet'!AZ13:AZ723,"SO02_1_",'Stavební rozpočet'!AX13:AX723)</f>
      </c>
      <c r="L21" s="117">
        <f>SUMIF('Stavební rozpočet'!AZ13:AZ723,"SO02_1_",'Stavební rozpočet'!AV13:AV723)</f>
      </c>
      <c r="M21" s="115" t="s">
        <v>90</v>
      </c>
      <c r="N21" s="116">
        <f>IF(M21="F",0,L21)</f>
      </c>
      <c r="O21" s="10" t="s">
        <v>103</v>
      </c>
      <c r="P21" s="116">
        <f>IF(M21="T",0,L21)</f>
      </c>
    </row>
    <row r="22">
      <c r="A22" s="9" t="s">
        <v>104</v>
      </c>
      <c r="B22" s="10" t="s">
        <v>105</v>
      </c>
      <c r="C22" s="10"/>
      <c r="D22" s="10"/>
      <c r="E22" s="10"/>
      <c r="F22" s="10"/>
      <c r="G22" s="10"/>
      <c r="H22" s="10"/>
      <c r="I22" s="10"/>
      <c r="J22" s="116">
        <f>SUMIF('Stavební rozpočet'!AZ13:AZ723,"SO02_2_",'Stavební rozpočet'!AW13:AW723)</f>
      </c>
      <c r="K22" s="116">
        <f>SUMIF('Stavební rozpočet'!AZ13:AZ723,"SO02_2_",'Stavební rozpočet'!AX13:AX723)</f>
      </c>
      <c r="L22" s="117">
        <f>SUMIF('Stavební rozpočet'!AZ13:AZ723,"SO02_2_",'Stavební rozpočet'!AV13:AV723)</f>
      </c>
      <c r="M22" s="115" t="s">
        <v>90</v>
      </c>
      <c r="N22" s="116">
        <f>IF(M22="F",0,L22)</f>
      </c>
      <c r="O22" s="10" t="s">
        <v>103</v>
      </c>
      <c r="P22" s="116">
        <f>IF(M22="T",0,L22)</f>
      </c>
    </row>
    <row r="23">
      <c r="A23" s="9" t="s">
        <v>91</v>
      </c>
      <c r="B23" s="10" t="s">
        <v>92</v>
      </c>
      <c r="C23" s="10"/>
      <c r="D23" s="10"/>
      <c r="E23" s="10"/>
      <c r="F23" s="10"/>
      <c r="G23" s="10"/>
      <c r="H23" s="10"/>
      <c r="I23" s="10"/>
      <c r="J23" s="116">
        <f>SUMIF('Stavební rozpočet'!AZ13:AZ723,"SO02_3_",'Stavební rozpočet'!AW13:AW723)</f>
      </c>
      <c r="K23" s="116">
        <f>SUMIF('Stavební rozpočet'!AZ13:AZ723,"SO02_3_",'Stavební rozpočet'!AX13:AX723)</f>
      </c>
      <c r="L23" s="117">
        <f>SUMIF('Stavební rozpočet'!AZ13:AZ723,"SO02_3_",'Stavební rozpočet'!AV13:AV723)</f>
      </c>
      <c r="M23" s="115" t="s">
        <v>90</v>
      </c>
      <c r="N23" s="116">
        <f>IF(M23="F",0,L23)</f>
      </c>
      <c r="O23" s="10" t="s">
        <v>103</v>
      </c>
      <c r="P23" s="116">
        <f>IF(M23="T",0,L23)</f>
      </c>
    </row>
    <row r="24">
      <c r="A24" s="9" t="s">
        <v>106</v>
      </c>
      <c r="B24" s="10" t="s">
        <v>107</v>
      </c>
      <c r="C24" s="10"/>
      <c r="D24" s="10"/>
      <c r="E24" s="10"/>
      <c r="F24" s="10"/>
      <c r="G24" s="10"/>
      <c r="H24" s="10"/>
      <c r="I24" s="10"/>
      <c r="J24" s="116">
        <f>SUMIF('Stavební rozpočet'!AZ13:AZ723,"SO02_4_",'Stavební rozpočet'!AW13:AW723)</f>
      </c>
      <c r="K24" s="116">
        <f>SUMIF('Stavební rozpočet'!AZ13:AZ723,"SO02_4_",'Stavební rozpočet'!AX13:AX723)</f>
      </c>
      <c r="L24" s="117">
        <f>SUMIF('Stavební rozpočet'!AZ13:AZ723,"SO02_4_",'Stavební rozpočet'!AV13:AV723)</f>
      </c>
      <c r="M24" s="115" t="s">
        <v>90</v>
      </c>
      <c r="N24" s="116">
        <f>IF(M24="F",0,L24)</f>
      </c>
      <c r="O24" s="10" t="s">
        <v>103</v>
      </c>
      <c r="P24" s="116">
        <f>IF(M24="T",0,L24)</f>
      </c>
    </row>
    <row r="25">
      <c r="A25" s="9" t="s">
        <v>93</v>
      </c>
      <c r="B25" s="10" t="s">
        <v>94</v>
      </c>
      <c r="C25" s="10"/>
      <c r="D25" s="10"/>
      <c r="E25" s="10"/>
      <c r="F25" s="10"/>
      <c r="G25" s="10"/>
      <c r="H25" s="10"/>
      <c r="I25" s="10"/>
      <c r="J25" s="116">
        <f>SUMIF('Stavební rozpočet'!AZ13:AZ723,"SO02_5_",'Stavební rozpočet'!AW13:AW723)</f>
      </c>
      <c r="K25" s="116">
        <f>SUMIF('Stavební rozpočet'!AZ13:AZ723,"SO02_5_",'Stavební rozpočet'!AX13:AX723)</f>
      </c>
      <c r="L25" s="117">
        <f>SUMIF('Stavební rozpočet'!AZ13:AZ723,"SO02_5_",'Stavební rozpočet'!AV13:AV723)</f>
      </c>
      <c r="M25" s="115" t="s">
        <v>90</v>
      </c>
      <c r="N25" s="116">
        <f>IF(M25="F",0,L25)</f>
      </c>
      <c r="O25" s="10" t="s">
        <v>103</v>
      </c>
      <c r="P25" s="116">
        <f>IF(M25="T",0,L25)</f>
      </c>
    </row>
    <row r="26">
      <c r="A26" s="9" t="s">
        <v>108</v>
      </c>
      <c r="B26" s="10" t="s">
        <v>109</v>
      </c>
      <c r="C26" s="10"/>
      <c r="D26" s="10"/>
      <c r="E26" s="10"/>
      <c r="F26" s="10"/>
      <c r="G26" s="10"/>
      <c r="H26" s="10"/>
      <c r="I26" s="10"/>
      <c r="J26" s="116">
        <f>SUMIF('Stavební rozpočet'!AZ13:AZ723,"SO02_71_",'Stavební rozpočet'!AW13:AW723)</f>
      </c>
      <c r="K26" s="116">
        <f>SUMIF('Stavební rozpočet'!AZ13:AZ723,"SO02_71_",'Stavební rozpočet'!AX13:AX723)</f>
      </c>
      <c r="L26" s="117">
        <f>SUMIF('Stavební rozpočet'!AZ13:AZ723,"SO02_71_",'Stavební rozpočet'!AV13:AV723)</f>
      </c>
      <c r="M26" s="115" t="s">
        <v>90</v>
      </c>
      <c r="N26" s="116">
        <f>IF(M26="F",0,L26)</f>
      </c>
      <c r="O26" s="10" t="s">
        <v>103</v>
      </c>
      <c r="P26" s="116">
        <f>IF(M26="T",0,L26)</f>
      </c>
    </row>
    <row r="27">
      <c r="A27" s="9" t="s">
        <v>110</v>
      </c>
      <c r="B27" s="10" t="s">
        <v>111</v>
      </c>
      <c r="C27" s="10"/>
      <c r="D27" s="10"/>
      <c r="E27" s="10"/>
      <c r="F27" s="10"/>
      <c r="G27" s="10"/>
      <c r="H27" s="10"/>
      <c r="I27" s="10"/>
      <c r="J27" s="116">
        <f>SUMIF('Stavební rozpočet'!AZ13:AZ723,"SO02_8_",'Stavební rozpočet'!AW13:AW723)</f>
      </c>
      <c r="K27" s="116">
        <f>SUMIF('Stavební rozpočet'!AZ13:AZ723,"SO02_8_",'Stavební rozpočet'!AX13:AX723)</f>
      </c>
      <c r="L27" s="117">
        <f>SUMIF('Stavební rozpočet'!AZ13:AZ723,"SO02_8_",'Stavební rozpočet'!AV13:AV723)</f>
      </c>
      <c r="M27" s="115" t="s">
        <v>90</v>
      </c>
      <c r="N27" s="116">
        <f>IF(M27="F",0,L27)</f>
      </c>
      <c r="O27" s="10" t="s">
        <v>103</v>
      </c>
      <c r="P27" s="116">
        <f>IF(M27="T",0,L27)</f>
      </c>
    </row>
    <row r="28">
      <c r="A28" s="9" t="s">
        <v>99</v>
      </c>
      <c r="B28" s="10" t="s">
        <v>100</v>
      </c>
      <c r="C28" s="10"/>
      <c r="D28" s="10"/>
      <c r="E28" s="10"/>
      <c r="F28" s="10"/>
      <c r="G28" s="10"/>
      <c r="H28" s="10"/>
      <c r="I28" s="10"/>
      <c r="J28" s="116">
        <f>SUMIF('Stavební rozpočet'!AZ13:AZ723,"SO02_9_",'Stavební rozpočet'!AW13:AW723)</f>
      </c>
      <c r="K28" s="116">
        <f>SUMIF('Stavební rozpočet'!AZ13:AZ723,"SO02_9_",'Stavební rozpočet'!AX13:AX723)</f>
      </c>
      <c r="L28" s="117">
        <f>SUMIF('Stavební rozpočet'!AZ13:AZ723,"SO02_9_",'Stavební rozpočet'!AV13:AV723)</f>
      </c>
      <c r="M28" s="115" t="s">
        <v>90</v>
      </c>
      <c r="N28" s="116">
        <f>IF(M28="F",0,L28)</f>
      </c>
      <c r="O28" s="10" t="s">
        <v>103</v>
      </c>
      <c r="P28" s="116">
        <f>IF(M28="T",0,L28)</f>
      </c>
    </row>
    <row r="29">
      <c r="A29" s="9" t="s">
        <v>4</v>
      </c>
      <c r="B29" s="10" t="s">
        <v>36</v>
      </c>
      <c r="C29" s="10"/>
      <c r="D29" s="10"/>
      <c r="E29" s="10"/>
      <c r="F29" s="10"/>
      <c r="G29" s="10"/>
      <c r="H29" s="10"/>
      <c r="I29" s="10"/>
      <c r="J29" s="116">
        <f>SUMIF('Stavební rozpočet'!AZ13:AZ723,"SO02_Z_",'Stavební rozpočet'!AW13:AW723)</f>
      </c>
      <c r="K29" s="116">
        <f>SUMIF('Stavební rozpočet'!AZ13:AZ723,"SO02_Z_",'Stavební rozpočet'!AX13:AX723)</f>
      </c>
      <c r="L29" s="117">
        <f>SUMIF('Stavební rozpočet'!AZ13:AZ723,"SO02_Z_",'Stavební rozpočet'!AV13:AV723)</f>
      </c>
      <c r="M29" s="115" t="s">
        <v>90</v>
      </c>
      <c r="N29" s="116">
        <f>IF(M29="F",0,L29)</f>
      </c>
      <c r="O29" s="10" t="s">
        <v>103</v>
      </c>
      <c r="P29" s="116">
        <f>IF(M29="T",0,L29)</f>
      </c>
    </row>
    <row r="30">
      <c r="A30" s="9" t="s">
        <v>101</v>
      </c>
      <c r="B30" s="10" t="s">
        <v>4</v>
      </c>
      <c r="C30" s="10"/>
      <c r="D30" s="10"/>
      <c r="E30" s="10"/>
      <c r="F30" s="10"/>
      <c r="G30" s="10"/>
      <c r="H30" s="10"/>
      <c r="I30" s="10"/>
      <c r="J30" s="116">
        <f>SUMIF('Stavební rozpočet'!AZ13:AZ723,"SO02_Â _",'Stavební rozpočet'!AW13:AW723)</f>
      </c>
      <c r="K30" s="116">
        <f>SUMIF('Stavební rozpočet'!AZ13:AZ723,"SO02_Â _",'Stavební rozpočet'!AX13:AX723)</f>
      </c>
      <c r="L30" s="117">
        <f>SUMIF('Stavební rozpočet'!AZ13:AZ723,"SO02_Â _",'Stavební rozpočet'!AV13:AV723)</f>
      </c>
      <c r="M30" s="115" t="s">
        <v>90</v>
      </c>
      <c r="N30" s="116">
        <f>IF(M30="F",0,L30)</f>
      </c>
      <c r="O30" s="10" t="s">
        <v>103</v>
      </c>
      <c r="P30" s="116">
        <f>IF(M30="T",0,L30)</f>
      </c>
    </row>
    <row r="31">
      <c r="A31" s="9" t="s">
        <v>4</v>
      </c>
      <c r="B31" s="10" t="s">
        <v>112</v>
      </c>
      <c r="C31" s="10"/>
      <c r="D31" s="10"/>
      <c r="E31" s="10"/>
      <c r="F31" s="10"/>
      <c r="G31" s="10"/>
      <c r="H31" s="10"/>
      <c r="I31" s="10"/>
      <c r="J31" s="116">
        <f>'Stavební rozpočet'!H389</f>
      </c>
      <c r="K31" s="116">
        <f>'Stavební rozpočet'!I389</f>
      </c>
      <c r="L31" s="117">
        <f>'Stavební rozpočet'!J389</f>
      </c>
      <c r="M31" s="115" t="s">
        <v>86</v>
      </c>
      <c r="N31" s="116">
        <f>IF(M31="F",0,L31)</f>
      </c>
      <c r="O31" s="10" t="s">
        <v>113</v>
      </c>
      <c r="P31" s="116">
        <f>IF(M31="T",0,L31)</f>
      </c>
    </row>
    <row r="32">
      <c r="A32" s="9" t="s">
        <v>88</v>
      </c>
      <c r="B32" s="10" t="s">
        <v>89</v>
      </c>
      <c r="C32" s="10"/>
      <c r="D32" s="10"/>
      <c r="E32" s="10"/>
      <c r="F32" s="10"/>
      <c r="G32" s="10"/>
      <c r="H32" s="10"/>
      <c r="I32" s="10"/>
      <c r="J32" s="116">
        <f>SUMIF('Stavební rozpočet'!AZ13:AZ723,"SO03_1_",'Stavební rozpočet'!AW13:AW723)</f>
      </c>
      <c r="K32" s="116">
        <f>SUMIF('Stavební rozpočet'!AZ13:AZ723,"SO03_1_",'Stavební rozpočet'!AX13:AX723)</f>
      </c>
      <c r="L32" s="117">
        <f>SUMIF('Stavební rozpočet'!AZ13:AZ723,"SO03_1_",'Stavební rozpočet'!AV13:AV723)</f>
      </c>
      <c r="M32" s="115" t="s">
        <v>90</v>
      </c>
      <c r="N32" s="116">
        <f>IF(M32="F",0,L32)</f>
      </c>
      <c r="O32" s="10" t="s">
        <v>113</v>
      </c>
      <c r="P32" s="116">
        <f>IF(M32="T",0,L32)</f>
      </c>
    </row>
    <row r="33">
      <c r="A33" s="9" t="s">
        <v>104</v>
      </c>
      <c r="B33" s="10" t="s">
        <v>105</v>
      </c>
      <c r="C33" s="10"/>
      <c r="D33" s="10"/>
      <c r="E33" s="10"/>
      <c r="F33" s="10"/>
      <c r="G33" s="10"/>
      <c r="H33" s="10"/>
      <c r="I33" s="10"/>
      <c r="J33" s="116">
        <f>SUMIF('Stavební rozpočet'!AZ13:AZ723,"SO03_2_",'Stavební rozpočet'!AW13:AW723)</f>
      </c>
      <c r="K33" s="116">
        <f>SUMIF('Stavební rozpočet'!AZ13:AZ723,"SO03_2_",'Stavební rozpočet'!AX13:AX723)</f>
      </c>
      <c r="L33" s="117">
        <f>SUMIF('Stavební rozpočet'!AZ13:AZ723,"SO03_2_",'Stavební rozpočet'!AV13:AV723)</f>
      </c>
      <c r="M33" s="115" t="s">
        <v>90</v>
      </c>
      <c r="N33" s="116">
        <f>IF(M33="F",0,L33)</f>
      </c>
      <c r="O33" s="10" t="s">
        <v>113</v>
      </c>
      <c r="P33" s="116">
        <f>IF(M33="T",0,L33)</f>
      </c>
    </row>
    <row r="34">
      <c r="A34" s="9" t="s">
        <v>91</v>
      </c>
      <c r="B34" s="10" t="s">
        <v>92</v>
      </c>
      <c r="C34" s="10"/>
      <c r="D34" s="10"/>
      <c r="E34" s="10"/>
      <c r="F34" s="10"/>
      <c r="G34" s="10"/>
      <c r="H34" s="10"/>
      <c r="I34" s="10"/>
      <c r="J34" s="116">
        <f>SUMIF('Stavební rozpočet'!AZ13:AZ723,"SO03_3_",'Stavební rozpočet'!AW13:AW723)</f>
      </c>
      <c r="K34" s="116">
        <f>SUMIF('Stavební rozpočet'!AZ13:AZ723,"SO03_3_",'Stavební rozpočet'!AX13:AX723)</f>
      </c>
      <c r="L34" s="117">
        <f>SUMIF('Stavební rozpočet'!AZ13:AZ723,"SO03_3_",'Stavební rozpočet'!AV13:AV723)</f>
      </c>
      <c r="M34" s="115" t="s">
        <v>90</v>
      </c>
      <c r="N34" s="116">
        <f>IF(M34="F",0,L34)</f>
      </c>
      <c r="O34" s="10" t="s">
        <v>113</v>
      </c>
      <c r="P34" s="116">
        <f>IF(M34="T",0,L34)</f>
      </c>
    </row>
    <row r="35">
      <c r="A35" s="9" t="s">
        <v>106</v>
      </c>
      <c r="B35" s="10" t="s">
        <v>107</v>
      </c>
      <c r="C35" s="10"/>
      <c r="D35" s="10"/>
      <c r="E35" s="10"/>
      <c r="F35" s="10"/>
      <c r="G35" s="10"/>
      <c r="H35" s="10"/>
      <c r="I35" s="10"/>
      <c r="J35" s="116">
        <f>SUMIF('Stavební rozpočet'!AZ13:AZ723,"SO03_4_",'Stavební rozpočet'!AW13:AW723)</f>
      </c>
      <c r="K35" s="116">
        <f>SUMIF('Stavební rozpočet'!AZ13:AZ723,"SO03_4_",'Stavební rozpočet'!AX13:AX723)</f>
      </c>
      <c r="L35" s="117">
        <f>SUMIF('Stavební rozpočet'!AZ13:AZ723,"SO03_4_",'Stavební rozpočet'!AV13:AV723)</f>
      </c>
      <c r="M35" s="115" t="s">
        <v>90</v>
      </c>
      <c r="N35" s="116">
        <f>IF(M35="F",0,L35)</f>
      </c>
      <c r="O35" s="10" t="s">
        <v>113</v>
      </c>
      <c r="P35" s="116">
        <f>IF(M35="T",0,L35)</f>
      </c>
    </row>
    <row r="36">
      <c r="A36" s="9" t="s">
        <v>114</v>
      </c>
      <c r="B36" s="10" t="s">
        <v>115</v>
      </c>
      <c r="C36" s="10"/>
      <c r="D36" s="10"/>
      <c r="E36" s="10"/>
      <c r="F36" s="10"/>
      <c r="G36" s="10"/>
      <c r="H36" s="10"/>
      <c r="I36" s="10"/>
      <c r="J36" s="116">
        <f>SUMIF('Stavební rozpočet'!AZ13:AZ723,"SO03_73_",'Stavební rozpočet'!AW13:AW723)</f>
      </c>
      <c r="K36" s="116">
        <f>SUMIF('Stavební rozpočet'!AZ13:AZ723,"SO03_73_",'Stavební rozpočet'!AX13:AX723)</f>
      </c>
      <c r="L36" s="117">
        <f>SUMIF('Stavební rozpočet'!AZ13:AZ723,"SO03_73_",'Stavební rozpočet'!AV13:AV723)</f>
      </c>
      <c r="M36" s="115" t="s">
        <v>90</v>
      </c>
      <c r="N36" s="116">
        <f>IF(M36="F",0,L36)</f>
      </c>
      <c r="O36" s="10" t="s">
        <v>113</v>
      </c>
      <c r="P36" s="116">
        <f>IF(M36="T",0,L36)</f>
      </c>
    </row>
    <row r="37">
      <c r="A37" s="9" t="s">
        <v>110</v>
      </c>
      <c r="B37" s="10" t="s">
        <v>111</v>
      </c>
      <c r="C37" s="10"/>
      <c r="D37" s="10"/>
      <c r="E37" s="10"/>
      <c r="F37" s="10"/>
      <c r="G37" s="10"/>
      <c r="H37" s="10"/>
      <c r="I37" s="10"/>
      <c r="J37" s="116">
        <f>SUMIF('Stavební rozpočet'!AZ13:AZ723,"SO03_8_",'Stavební rozpočet'!AW13:AW723)</f>
      </c>
      <c r="K37" s="116">
        <f>SUMIF('Stavební rozpočet'!AZ13:AZ723,"SO03_8_",'Stavební rozpočet'!AX13:AX723)</f>
      </c>
      <c r="L37" s="117">
        <f>SUMIF('Stavební rozpočet'!AZ13:AZ723,"SO03_8_",'Stavební rozpočet'!AV13:AV723)</f>
      </c>
      <c r="M37" s="115" t="s">
        <v>90</v>
      </c>
      <c r="N37" s="116">
        <f>IF(M37="F",0,L37)</f>
      </c>
      <c r="O37" s="10" t="s">
        <v>113</v>
      </c>
      <c r="P37" s="116">
        <f>IF(M37="T",0,L37)</f>
      </c>
    </row>
    <row r="38">
      <c r="A38" s="9" t="s">
        <v>99</v>
      </c>
      <c r="B38" s="10" t="s">
        <v>100</v>
      </c>
      <c r="C38" s="10"/>
      <c r="D38" s="10"/>
      <c r="E38" s="10"/>
      <c r="F38" s="10"/>
      <c r="G38" s="10"/>
      <c r="H38" s="10"/>
      <c r="I38" s="10"/>
      <c r="J38" s="116">
        <f>SUMIF('Stavební rozpočet'!AZ13:AZ723,"SO03_9_",'Stavební rozpočet'!AW13:AW723)</f>
      </c>
      <c r="K38" s="116">
        <f>SUMIF('Stavební rozpočet'!AZ13:AZ723,"SO03_9_",'Stavební rozpočet'!AX13:AX723)</f>
      </c>
      <c r="L38" s="117">
        <f>SUMIF('Stavební rozpočet'!AZ13:AZ723,"SO03_9_",'Stavební rozpočet'!AV13:AV723)</f>
      </c>
      <c r="M38" s="115" t="s">
        <v>90</v>
      </c>
      <c r="N38" s="116">
        <f>IF(M38="F",0,L38)</f>
      </c>
      <c r="O38" s="10" t="s">
        <v>113</v>
      </c>
      <c r="P38" s="116">
        <f>IF(M38="T",0,L38)</f>
      </c>
    </row>
    <row r="39">
      <c r="A39" s="9" t="s">
        <v>4</v>
      </c>
      <c r="B39" s="10" t="s">
        <v>36</v>
      </c>
      <c r="C39" s="10"/>
      <c r="D39" s="10"/>
      <c r="E39" s="10"/>
      <c r="F39" s="10"/>
      <c r="G39" s="10"/>
      <c r="H39" s="10"/>
      <c r="I39" s="10"/>
      <c r="J39" s="116">
        <f>SUMIF('Stavební rozpočet'!AZ13:AZ723,"SO03_Z_",'Stavební rozpočet'!AW13:AW723)</f>
      </c>
      <c r="K39" s="116">
        <f>SUMIF('Stavební rozpočet'!AZ13:AZ723,"SO03_Z_",'Stavební rozpočet'!AX13:AX723)</f>
      </c>
      <c r="L39" s="117">
        <f>SUMIF('Stavební rozpočet'!AZ13:AZ723,"SO03_Z_",'Stavební rozpočet'!AV13:AV723)</f>
      </c>
      <c r="M39" s="115" t="s">
        <v>90</v>
      </c>
      <c r="N39" s="116">
        <f>IF(M39="F",0,L39)</f>
      </c>
      <c r="O39" s="10" t="s">
        <v>113</v>
      </c>
      <c r="P39" s="116">
        <f>IF(M39="T",0,L39)</f>
      </c>
    </row>
    <row r="40">
      <c r="A40" s="9" t="s">
        <v>101</v>
      </c>
      <c r="B40" s="10" t="s">
        <v>4</v>
      </c>
      <c r="C40" s="10"/>
      <c r="D40" s="10"/>
      <c r="E40" s="10"/>
      <c r="F40" s="10"/>
      <c r="G40" s="10"/>
      <c r="H40" s="10"/>
      <c r="I40" s="10"/>
      <c r="J40" s="116">
        <f>SUMIF('Stavební rozpočet'!AZ13:AZ723,"SO03_Â _",'Stavební rozpočet'!AW13:AW723)</f>
      </c>
      <c r="K40" s="116">
        <f>SUMIF('Stavební rozpočet'!AZ13:AZ723,"SO03_Â _",'Stavební rozpočet'!AX13:AX723)</f>
      </c>
      <c r="L40" s="117">
        <f>SUMIF('Stavební rozpočet'!AZ13:AZ723,"SO03_Â _",'Stavební rozpočet'!AV13:AV723)</f>
      </c>
      <c r="M40" s="115" t="s">
        <v>90</v>
      </c>
      <c r="N40" s="116">
        <f>IF(M40="F",0,L40)</f>
      </c>
      <c r="O40" s="10" t="s">
        <v>113</v>
      </c>
      <c r="P40" s="116">
        <f>IF(M40="T",0,L40)</f>
      </c>
    </row>
    <row r="41">
      <c r="A41" s="9" t="s">
        <v>4</v>
      </c>
      <c r="B41" s="10" t="s">
        <v>116</v>
      </c>
      <c r="C41" s="10"/>
      <c r="D41" s="10"/>
      <c r="E41" s="10"/>
      <c r="F41" s="10"/>
      <c r="G41" s="10"/>
      <c r="H41" s="10"/>
      <c r="I41" s="10"/>
      <c r="J41" s="116">
        <f>'Stavební rozpočet'!H611</f>
      </c>
      <c r="K41" s="116">
        <f>'Stavební rozpočet'!I611</f>
      </c>
      <c r="L41" s="117">
        <f>'Stavební rozpočet'!J611</f>
      </c>
      <c r="M41" s="115" t="s">
        <v>86</v>
      </c>
      <c r="N41" s="116">
        <f>IF(M41="F",0,L41)</f>
      </c>
      <c r="O41" s="10" t="s">
        <v>117</v>
      </c>
      <c r="P41" s="116">
        <f>IF(M41="T",0,L41)</f>
      </c>
    </row>
    <row r="42">
      <c r="A42" s="9" t="s">
        <v>88</v>
      </c>
      <c r="B42" s="10" t="s">
        <v>89</v>
      </c>
      <c r="C42" s="10"/>
      <c r="D42" s="10"/>
      <c r="E42" s="10"/>
      <c r="F42" s="10"/>
      <c r="G42" s="10"/>
      <c r="H42" s="10"/>
      <c r="I42" s="10"/>
      <c r="J42" s="116">
        <f>SUMIF('Stavební rozpočet'!AZ13:AZ723,"SO04_1_",'Stavební rozpočet'!AW13:AW723)</f>
      </c>
      <c r="K42" s="116">
        <f>SUMIF('Stavební rozpočet'!AZ13:AZ723,"SO04_1_",'Stavební rozpočet'!AX13:AX723)</f>
      </c>
      <c r="L42" s="117">
        <f>SUMIF('Stavební rozpočet'!AZ13:AZ723,"SO04_1_",'Stavební rozpočet'!AV13:AV723)</f>
      </c>
      <c r="M42" s="115" t="s">
        <v>90</v>
      </c>
      <c r="N42" s="116">
        <f>IF(M42="F",0,L42)</f>
      </c>
      <c r="O42" s="10" t="s">
        <v>117</v>
      </c>
      <c r="P42" s="116">
        <f>IF(M42="T",0,L42)</f>
      </c>
    </row>
    <row r="43">
      <c r="A43" s="9" t="s">
        <v>99</v>
      </c>
      <c r="B43" s="10" t="s">
        <v>100</v>
      </c>
      <c r="C43" s="10"/>
      <c r="D43" s="10"/>
      <c r="E43" s="10"/>
      <c r="F43" s="10"/>
      <c r="G43" s="10"/>
      <c r="H43" s="10"/>
      <c r="I43" s="10"/>
      <c r="J43" s="116">
        <f>SUMIF('Stavební rozpočet'!AZ13:AZ723,"SO04_9_",'Stavební rozpočet'!AW13:AW723)</f>
      </c>
      <c r="K43" s="116">
        <f>SUMIF('Stavební rozpočet'!AZ13:AZ723,"SO04_9_",'Stavební rozpočet'!AX13:AX723)</f>
      </c>
      <c r="L43" s="117">
        <f>SUMIF('Stavební rozpočet'!AZ13:AZ723,"SO04_9_",'Stavební rozpočet'!AV13:AV723)</f>
      </c>
      <c r="M43" s="115" t="s">
        <v>90</v>
      </c>
      <c r="N43" s="116">
        <f>IF(M43="F",0,L43)</f>
      </c>
      <c r="O43" s="10" t="s">
        <v>117</v>
      </c>
      <c r="P43" s="116">
        <f>IF(M43="T",0,L43)</f>
      </c>
    </row>
    <row r="44">
      <c r="A44" s="9" t="s">
        <v>4</v>
      </c>
      <c r="B44" s="10" t="s">
        <v>36</v>
      </c>
      <c r="C44" s="10"/>
      <c r="D44" s="10"/>
      <c r="E44" s="10"/>
      <c r="F44" s="10"/>
      <c r="G44" s="10"/>
      <c r="H44" s="10"/>
      <c r="I44" s="10"/>
      <c r="J44" s="116">
        <f>SUMIF('Stavební rozpočet'!AZ13:AZ723,"SO04_Z_",'Stavební rozpočet'!AW13:AW723)</f>
      </c>
      <c r="K44" s="116">
        <f>SUMIF('Stavební rozpočet'!AZ13:AZ723,"SO04_Z_",'Stavební rozpočet'!AX13:AX723)</f>
      </c>
      <c r="L44" s="117">
        <f>SUMIF('Stavební rozpočet'!AZ13:AZ723,"SO04_Z_",'Stavební rozpočet'!AV13:AV723)</f>
      </c>
      <c r="M44" s="115" t="s">
        <v>90</v>
      </c>
      <c r="N44" s="116">
        <f>IF(M44="F",0,L44)</f>
      </c>
      <c r="O44" s="10" t="s">
        <v>117</v>
      </c>
      <c r="P44" s="116">
        <f>IF(M44="T",0,L44)</f>
      </c>
    </row>
    <row r="45">
      <c r="A45" s="9" t="s">
        <v>101</v>
      </c>
      <c r="B45" s="10" t="s">
        <v>4</v>
      </c>
      <c r="C45" s="10"/>
      <c r="D45" s="10"/>
      <c r="E45" s="10"/>
      <c r="F45" s="10"/>
      <c r="G45" s="10"/>
      <c r="H45" s="10"/>
      <c r="I45" s="10"/>
      <c r="J45" s="116">
        <f>SUMIF('Stavební rozpočet'!AZ13:AZ723,"SO04_Â _",'Stavební rozpočet'!AW13:AW723)</f>
      </c>
      <c r="K45" s="116">
        <f>SUMIF('Stavební rozpočet'!AZ13:AZ723,"SO04_Â _",'Stavební rozpočet'!AX13:AX723)</f>
      </c>
      <c r="L45" s="117">
        <f>SUMIF('Stavební rozpočet'!AZ13:AZ723,"SO04_Â _",'Stavební rozpočet'!AV13:AV723)</f>
      </c>
      <c r="M45" s="115" t="s">
        <v>90</v>
      </c>
      <c r="N45" s="116">
        <f>IF(M45="F",0,L45)</f>
      </c>
      <c r="O45" s="10" t="s">
        <v>117</v>
      </c>
      <c r="P45" s="116">
        <f>IF(M45="T",0,L45)</f>
      </c>
    </row>
    <row r="46">
      <c r="A46" s="9" t="s">
        <v>4</v>
      </c>
      <c r="B46" s="10" t="s">
        <v>118</v>
      </c>
      <c r="C46" s="10"/>
      <c r="D46" s="10"/>
      <c r="E46" s="10"/>
      <c r="F46" s="10"/>
      <c r="G46" s="10"/>
      <c r="H46" s="10"/>
      <c r="I46" s="10"/>
      <c r="J46" s="116">
        <f>'Stavební rozpočet'!H714</f>
      </c>
      <c r="K46" s="116">
        <f>'Stavební rozpočet'!I714</f>
      </c>
      <c r="L46" s="117">
        <f>'Stavební rozpočet'!J714</f>
      </c>
      <c r="M46" s="115" t="s">
        <v>86</v>
      </c>
      <c r="N46" s="116">
        <f>IF(M46="F",0,L46)</f>
      </c>
      <c r="O46" s="10" t="s">
        <v>119</v>
      </c>
      <c r="P46" s="116">
        <f>IF(M46="T",0,L46)</f>
      </c>
    </row>
    <row r="47">
      <c r="A47" s="17" t="s">
        <v>101</v>
      </c>
      <c r="B47" s="18" t="s">
        <v>4</v>
      </c>
      <c r="C47" s="18"/>
      <c r="D47" s="18"/>
      <c r="E47" s="18"/>
      <c r="F47" s="18"/>
      <c r="G47" s="18"/>
      <c r="H47" s="18"/>
      <c r="I47" s="18"/>
      <c r="J47" s="118">
        <f>SUMIF('Stavební rozpočet'!AZ13:AZ723,"SO05_Â _",'Stavební rozpočet'!AW13:AW723)</f>
      </c>
      <c r="K47" s="118">
        <f>SUMIF('Stavební rozpočet'!AZ13:AZ723,"SO05_Â _",'Stavební rozpočet'!AX13:AX723)</f>
      </c>
      <c r="L47" s="119">
        <f>SUMIF('Stavební rozpočet'!AZ13:AZ723,"SO05_Â _",'Stavební rozpočet'!AV13:AV723)</f>
      </c>
      <c r="M47" s="115" t="s">
        <v>90</v>
      </c>
      <c r="N47" s="116">
        <f>IF(M47="F",0,L47)</f>
      </c>
      <c r="O47" s="10" t="s">
        <v>119</v>
      </c>
      <c r="P47" s="116">
        <f>IF(M47="T",0,L47)</f>
      </c>
    </row>
    <row r="48">
      <c r="J48" s="120" t="s">
        <v>120</v>
      </c>
      <c r="K48" s="120"/>
      <c r="L48" s="121">
        <f>ROUND(SUM(N12:N47),1)</f>
      </c>
    </row>
    <row r="49">
      <c r="A49" s="122" t="s">
        <v>56</v>
      </c>
    </row>
    <row r="50" customHeight="true" ht="12.75">
      <c r="A50" s="14" t="s">
        <v>4</v>
      </c>
      <c r="B50" s="10"/>
      <c r="C50" s="10"/>
      <c r="D50" s="10"/>
      <c r="E50" s="10"/>
      <c r="F50" s="10"/>
      <c r="G50" s="10"/>
      <c r="H50" s="10"/>
      <c r="I50" s="10"/>
      <c r="J50" s="10"/>
      <c r="K50" s="10"/>
      <c r="L50" s="10"/>
    </row>
  </sheetData>
  <mergeCells>
    <mergeCell ref="A1:L1"/>
    <mergeCell ref="A2:C3"/>
    <mergeCell ref="A4:C5"/>
    <mergeCell ref="A6:C7"/>
    <mergeCell ref="A8:C9"/>
    <mergeCell ref="D2:F3"/>
    <mergeCell ref="D4:F5"/>
    <mergeCell ref="D6:F7"/>
    <mergeCell ref="D8:F9"/>
    <mergeCell ref="G2:G3"/>
    <mergeCell ref="G4:G5"/>
    <mergeCell ref="G6:G7"/>
    <mergeCell ref="G8:G9"/>
    <mergeCell ref="H2:H3"/>
    <mergeCell ref="H4:H5"/>
    <mergeCell ref="H6:H7"/>
    <mergeCell ref="H8:H9"/>
    <mergeCell ref="I2:I3"/>
    <mergeCell ref="I4:I5"/>
    <mergeCell ref="I6:I7"/>
    <mergeCell ref="I8:I9"/>
    <mergeCell ref="J2:L3"/>
    <mergeCell ref="J4:L5"/>
    <mergeCell ref="J6:L7"/>
    <mergeCell ref="J8:L9"/>
    <mergeCell ref="B10:I10"/>
    <mergeCell ref="B11:I11"/>
    <mergeCell ref="J10:L10"/>
    <mergeCell ref="B12:I12"/>
    <mergeCell ref="B13:I13"/>
    <mergeCell ref="B14:I14"/>
    <mergeCell ref="B15:I15"/>
    <mergeCell ref="B16:I16"/>
    <mergeCell ref="B17:I17"/>
    <mergeCell ref="B18:I18"/>
    <mergeCell ref="B19:I19"/>
    <mergeCell ref="B20:I20"/>
    <mergeCell ref="B21:I21"/>
    <mergeCell ref="B22:I22"/>
    <mergeCell ref="B23:I23"/>
    <mergeCell ref="B24:I24"/>
    <mergeCell ref="B25:I25"/>
    <mergeCell ref="B26:I26"/>
    <mergeCell ref="B27:I27"/>
    <mergeCell ref="B28:I28"/>
    <mergeCell ref="B29:I29"/>
    <mergeCell ref="B30:I30"/>
    <mergeCell ref="B31:I31"/>
    <mergeCell ref="B32:I32"/>
    <mergeCell ref="B33:I33"/>
    <mergeCell ref="B34:I34"/>
    <mergeCell ref="B35:I35"/>
    <mergeCell ref="B36:I36"/>
    <mergeCell ref="B37:I37"/>
    <mergeCell ref="B38:I38"/>
    <mergeCell ref="B39:I39"/>
    <mergeCell ref="B40:I40"/>
    <mergeCell ref="B41:I41"/>
    <mergeCell ref="B42:I42"/>
    <mergeCell ref="B43:I43"/>
    <mergeCell ref="B44:I44"/>
    <mergeCell ref="B45:I45"/>
    <mergeCell ref="B46:I46"/>
    <mergeCell ref="B47:I47"/>
    <mergeCell ref="J48:K48"/>
    <mergeCell ref="A50:L50"/>
  </mergeCells>
  <pageMargins left="0.393999993801117" top="0.591000020503998" right="0.393999993801117" bottom="0.591000020503998" header="0" footer="0"/>
  <pageSetup orientation="landscape" fitToHeight="0" fitToWidth="1" cellComments="none"/>
  <drawing r:id="rId1"/>
</worksheet>
</file>

<file path=xl/worksheets/sheet4.xml><?xml version="1.0" encoding="utf-8"?>
<worksheet xmlns:r="http://schemas.openxmlformats.org/officeDocument/2006/relationships" xmlns="http://schemas.openxmlformats.org/spreadsheetml/2006/main">
  <sheetPr>
    <outlinePr summaryBelow="true" summaryRight="true"/>
    <pageSetUpPr fitToPage="true"/>
  </sheetPr>
  <dimension ref="A1:BX726"/>
  <sheetViews>
    <sheetView workbookViewId="0" showZeros="true" showFormulas="false" showGridLines="true" showRowColHeaders="true">
      <pane topLeftCell="A12" state="frozen" activePane="bottomLeft" ySplit="11"/>
      <selection pane="bottomLeft" sqref="A726:K726" activeCell="A726"/>
    </sheetView>
  </sheetViews>
  <sheetFormatPr defaultColWidth="12.140625" customHeight="true" defaultRowHeight="15"/>
  <cols>
    <col max="1" min="1" style="0" width="3.99609375" customWidth="true"/>
    <col max="2" min="2" style="0" width="17.85546875" customWidth="true"/>
    <col max="3" min="3" style="0" width="42.85546875" customWidth="true"/>
    <col max="4" min="4" style="0" width="35.7109375" customWidth="true"/>
    <col max="5" min="5" style="0" width="6.7109375" customWidth="true"/>
    <col max="6" min="6" style="0" width="12.85546875" customWidth="true"/>
    <col max="7" min="7" style="0" width="12" customWidth="true"/>
    <col max="10" min="8" style="0" width="15.7109375" customWidth="true"/>
    <col max="11" min="11" style="0" width="13.42578125" customWidth="true"/>
    <col max="75" min="25" style="0" width="12.140625" hidden="true"/>
    <col max="76" min="76" style="0" width="78.5703125" customWidth="true" hidden="true"/>
    <col max="78" min="77" style="0" width="12.140625" hidden="true"/>
  </cols>
  <sheetData>
    <row r="1" customHeight="true" ht="54.75">
      <c r="A1" s="2" t="s">
        <v>121</v>
      </c>
      <c r="B1" s="2"/>
      <c r="C1" s="2"/>
      <c r="D1" s="2"/>
      <c r="E1" s="2"/>
      <c r="F1" s="2"/>
      <c r="G1" s="2"/>
      <c r="H1" s="2"/>
      <c r="I1" s="2"/>
      <c r="J1" s="2"/>
      <c r="K1" s="2"/>
      <c r="AS1" s="123">
        <f>SUM(AJ1:AJ2)</f>
      </c>
      <c r="AT1" s="123">
        <f>SUM(AK1:AK2)</f>
      </c>
      <c r="AU1" s="123">
        <f>SUM(AL1:AL2)</f>
      </c>
    </row>
    <row r="2">
      <c r="A2" s="3" t="s">
        <v>1</v>
      </c>
      <c r="B2" s="4"/>
      <c r="C2" s="5" t="s">
        <v>122</v>
      </c>
      <c r="D2" s="6"/>
      <c r="E2" s="4" t="s">
        <v>77</v>
      </c>
      <c r="F2" s="4"/>
      <c r="G2" s="4" t="s">
        <v>79</v>
      </c>
      <c r="H2" s="7" t="s">
        <v>2</v>
      </c>
      <c r="I2" s="7" t="s">
        <v>123</v>
      </c>
      <c r="J2" s="4"/>
      <c r="K2" s="8"/>
    </row>
    <row r="3">
      <c r="A3" s="9"/>
      <c r="B3" s="10"/>
      <c r="C3" s="11"/>
      <c r="D3" s="11"/>
      <c r="E3" s="10"/>
      <c r="F3" s="10"/>
      <c r="G3" s="10"/>
      <c r="H3" s="10"/>
      <c r="I3" s="10"/>
      <c r="J3" s="10"/>
      <c r="K3" s="12"/>
    </row>
    <row r="4">
      <c r="A4" s="13" t="s">
        <v>5</v>
      </c>
      <c r="B4" s="10"/>
      <c r="C4" s="14" t="s">
        <v>124</v>
      </c>
      <c r="D4" s="10"/>
      <c r="E4" s="10" t="s">
        <v>9</v>
      </c>
      <c r="F4" s="10"/>
      <c r="G4" s="10" t="s">
        <v>125</v>
      </c>
      <c r="H4" s="14" t="s">
        <v>6</v>
      </c>
      <c r="I4" s="14" t="s">
        <v>126</v>
      </c>
      <c r="J4" s="10"/>
      <c r="K4" s="12"/>
    </row>
    <row r="5">
      <c r="A5" s="9"/>
      <c r="B5" s="10"/>
      <c r="C5" s="10"/>
      <c r="D5" s="10"/>
      <c r="E5" s="10"/>
      <c r="F5" s="10"/>
      <c r="G5" s="10"/>
      <c r="H5" s="10"/>
      <c r="I5" s="10"/>
      <c r="J5" s="10"/>
      <c r="K5" s="12"/>
    </row>
    <row r="6">
      <c r="A6" s="13" t="s">
        <v>7</v>
      </c>
      <c r="B6" s="10"/>
      <c r="C6" s="14" t="s">
        <v>127</v>
      </c>
      <c r="D6" s="10"/>
      <c r="E6" s="10" t="s">
        <v>10</v>
      </c>
      <c r="F6" s="10"/>
      <c r="G6" s="10" t="s">
        <v>79</v>
      </c>
      <c r="H6" s="14" t="s">
        <v>8</v>
      </c>
      <c r="I6" s="10" t="s">
        <v>128</v>
      </c>
      <c r="J6" s="10"/>
      <c r="K6" s="12"/>
    </row>
    <row r="7">
      <c r="A7" s="9"/>
      <c r="B7" s="10"/>
      <c r="C7" s="10"/>
      <c r="D7" s="10"/>
      <c r="E7" s="10"/>
      <c r="F7" s="10"/>
      <c r="G7" s="10"/>
      <c r="H7" s="10"/>
      <c r="I7" s="10"/>
      <c r="J7" s="10"/>
      <c r="K7" s="12"/>
    </row>
    <row r="8">
      <c r="A8" s="13" t="s">
        <v>12</v>
      </c>
      <c r="B8" s="10"/>
      <c r="C8" s="14" t="s">
        <v>129</v>
      </c>
      <c r="D8" s="10"/>
      <c r="E8" s="10" t="s">
        <v>78</v>
      </c>
      <c r="F8" s="10"/>
      <c r="G8" s="10" t="s">
        <v>130</v>
      </c>
      <c r="H8" s="14" t="s">
        <v>13</v>
      </c>
      <c r="I8" s="14" t="s">
        <v>126</v>
      </c>
      <c r="J8" s="10"/>
      <c r="K8" s="12"/>
    </row>
    <row r="9">
      <c r="A9" s="94"/>
      <c r="B9" s="95"/>
      <c r="C9" s="95"/>
      <c r="D9" s="95"/>
      <c r="E9" s="95"/>
      <c r="F9" s="95"/>
      <c r="G9" s="95"/>
      <c r="H9" s="95"/>
      <c r="I9" s="95"/>
      <c r="J9" s="95"/>
      <c r="K9" s="96"/>
    </row>
    <row r="10">
      <c r="A10" s="124" t="s">
        <v>131</v>
      </c>
      <c r="B10" s="125" t="s">
        <v>81</v>
      </c>
      <c r="C10" s="126" t="s">
        <v>82</v>
      </c>
      <c r="D10" s="127"/>
      <c r="E10" s="125" t="s">
        <v>132</v>
      </c>
      <c r="F10" s="128" t="s">
        <v>133</v>
      </c>
      <c r="G10" s="129" t="s">
        <v>134</v>
      </c>
      <c r="H10" s="101" t="s">
        <v>80</v>
      </c>
      <c r="I10" s="102"/>
      <c r="J10" s="103"/>
      <c r="K10" s="130" t="s">
        <v>135</v>
      </c>
      <c r="BK10" s="131" t="s">
        <v>136</v>
      </c>
      <c r="BL10" s="132" t="s">
        <v>137</v>
      </c>
      <c r="BW10" s="132" t="s">
        <v>138</v>
      </c>
    </row>
    <row r="11">
      <c r="A11" s="133" t="s">
        <v>79</v>
      </c>
      <c r="B11" s="134" t="s">
        <v>79</v>
      </c>
      <c r="C11" s="105" t="s">
        <v>139</v>
      </c>
      <c r="D11" s="135"/>
      <c r="E11" s="134" t="s">
        <v>79</v>
      </c>
      <c r="F11" s="134" t="s">
        <v>79</v>
      </c>
      <c r="G11" s="136" t="s">
        <v>140</v>
      </c>
      <c r="H11" s="108" t="s">
        <v>83</v>
      </c>
      <c r="I11" s="109" t="s">
        <v>26</v>
      </c>
      <c r="J11" s="110" t="s">
        <v>84</v>
      </c>
      <c r="K11" s="137" t="s">
        <v>141</v>
      </c>
      <c r="Z11" s="131" t="s">
        <v>142</v>
      </c>
      <c r="AA11" s="131" t="s">
        <v>143</v>
      </c>
      <c r="AB11" s="131" t="s">
        <v>144</v>
      </c>
      <c r="AC11" s="131" t="s">
        <v>145</v>
      </c>
      <c r="AD11" s="131" t="s">
        <v>146</v>
      </c>
      <c r="AE11" s="131" t="s">
        <v>147</v>
      </c>
      <c r="AF11" s="131" t="s">
        <v>148</v>
      </c>
      <c r="AG11" s="131" t="s">
        <v>149</v>
      </c>
      <c r="AH11" s="131" t="s">
        <v>150</v>
      </c>
      <c r="BH11" s="131" t="s">
        <v>151</v>
      </c>
      <c r="BI11" s="131" t="s">
        <v>152</v>
      </c>
      <c r="BJ11" s="131" t="s">
        <v>153</v>
      </c>
    </row>
    <row r="12">
      <c r="A12" s="138" t="s">
        <v>4</v>
      </c>
      <c r="B12" s="139" t="s">
        <v>4</v>
      </c>
      <c r="C12" s="140" t="s">
        <v>85</v>
      </c>
      <c r="D12" s="139"/>
      <c r="E12" s="141" t="s">
        <v>79</v>
      </c>
      <c r="F12" s="141" t="s">
        <v>79</v>
      </c>
      <c r="G12" s="141" t="s">
        <v>79</v>
      </c>
      <c r="H12" s="142">
        <f>H13+H19+H25+H30+H34+H42+H58+H65+H72+H79</f>
      </c>
      <c r="I12" s="142">
        <f>I13+I19+I25+I30+I34+I42+I58+I65+I72+I79</f>
      </c>
      <c r="J12" s="142">
        <f>J13+J19+J25+J30+J34+J42+J58+J65+J72+J79</f>
      </c>
      <c r="K12" s="143" t="s">
        <v>4</v>
      </c>
    </row>
    <row r="13">
      <c r="A13" s="144" t="s">
        <v>4</v>
      </c>
      <c r="B13" s="145" t="s">
        <v>154</v>
      </c>
      <c r="C13" s="146" t="s">
        <v>155</v>
      </c>
      <c r="D13" s="145"/>
      <c r="E13" s="147" t="s">
        <v>79</v>
      </c>
      <c r="F13" s="147" t="s">
        <v>79</v>
      </c>
      <c r="G13" s="147" t="s">
        <v>79</v>
      </c>
      <c r="H13" s="123">
        <f>SUM(H14:H16)</f>
      </c>
      <c r="I13" s="123">
        <f>SUM(I14:I16)</f>
      </c>
      <c r="J13" s="123">
        <f>SUM(J14:J16)</f>
      </c>
      <c r="K13" s="148" t="s">
        <v>4</v>
      </c>
      <c r="AI13" s="131" t="s">
        <v>87</v>
      </c>
      <c r="AS13" s="123">
        <f>SUM(AJ14:AJ16)</f>
      </c>
      <c r="AT13" s="123">
        <f>SUM(AK14:AK16)</f>
      </c>
      <c r="AU13" s="123">
        <f>SUM(AL14:AL16)</f>
      </c>
    </row>
    <row r="14">
      <c r="A14" s="9" t="s">
        <v>88</v>
      </c>
      <c r="B14" s="10" t="s">
        <v>156</v>
      </c>
      <c r="C14" s="14" t="s">
        <v>157</v>
      </c>
      <c r="D14" s="10"/>
      <c r="E14" s="10" t="s">
        <v>158</v>
      </c>
      <c r="F14" s="116" t="n">
        <v>100</v>
      </c>
      <c r="G14" s="116" t="n">
        <v>0</v>
      </c>
      <c r="H14" s="116">
        <f>F14*AO14</f>
      </c>
      <c r="I14" s="116">
        <f>F14*AP14</f>
      </c>
      <c r="J14" s="116">
        <f>F14*G14</f>
      </c>
      <c r="K14" s="149" t="s">
        <v>159</v>
      </c>
      <c r="Z14" s="116">
        <f>IF(AQ14="5",BJ14,0)</f>
      </c>
      <c r="AB14" s="116">
        <f>IF(AQ14="1",BH14,0)</f>
      </c>
      <c r="AC14" s="116">
        <f>IF(AQ14="1",BI14,0)</f>
      </c>
      <c r="AD14" s="116">
        <f>IF(AQ14="7",BH14,0)</f>
      </c>
      <c r="AE14" s="116">
        <f>IF(AQ14="7",BI14,0)</f>
      </c>
      <c r="AF14" s="116">
        <f>IF(AQ14="2",BH14,0)</f>
      </c>
      <c r="AG14" s="116">
        <f>IF(AQ14="2",BI14,0)</f>
      </c>
      <c r="AH14" s="116">
        <f>IF(AQ14="0",BJ14,0)</f>
      </c>
      <c r="AI14" s="131" t="s">
        <v>87</v>
      </c>
      <c r="AJ14" s="116">
        <f>IF(AN14=0,J14,0)</f>
      </c>
      <c r="AK14" s="116">
        <f>IF(AN14=12,J14,0)</f>
      </c>
      <c r="AL14" s="116">
        <f>IF(AN14=21,J14,0)</f>
      </c>
      <c r="AN14" s="116" t="n">
        <v>21</v>
      </c>
      <c r="AO14" s="116">
        <f>G14*0.02118019</f>
      </c>
      <c r="AP14" s="116">
        <f>G14*(1-0.02118019)</f>
      </c>
      <c r="AQ14" s="150" t="s">
        <v>88</v>
      </c>
      <c r="AV14" s="116">
        <f>AW14+AX14</f>
      </c>
      <c r="AW14" s="116">
        <f>F14*AO14</f>
      </c>
      <c r="AX14" s="116">
        <f>F14*AP14</f>
      </c>
      <c r="AY14" s="150" t="s">
        <v>160</v>
      </c>
      <c r="AZ14" s="150" t="s">
        <v>161</v>
      </c>
      <c r="BA14" s="131" t="s">
        <v>162</v>
      </c>
      <c r="BC14" s="116">
        <f>AW14+AX14</f>
      </c>
      <c r="BD14" s="116">
        <f>G14/(100-BE14)*100</f>
      </c>
      <c r="BE14" s="116" t="n">
        <v>0</v>
      </c>
      <c r="BF14" s="116">
        <f>14</f>
      </c>
      <c r="BH14" s="116">
        <f>F14*AO14</f>
      </c>
      <c r="BI14" s="116">
        <f>F14*AP14</f>
      </c>
      <c r="BJ14" s="116">
        <f>F14*G14</f>
      </c>
      <c r="BK14" s="116"/>
      <c r="BL14" s="116" t="n">
        <v>11</v>
      </c>
      <c r="BW14" s="116" t="n">
        <v>21</v>
      </c>
      <c r="BX14" s="14" t="s">
        <v>157</v>
      </c>
    </row>
    <row r="15">
      <c r="A15" s="151"/>
      <c r="C15" s="152" t="s">
        <v>163</v>
      </c>
      <c r="D15" s="152" t="s">
        <v>4</v>
      </c>
      <c r="F15" s="153" t="n">
        <v>100</v>
      </c>
      <c r="K15" s="154"/>
    </row>
    <row r="16">
      <c r="A16" s="9" t="s">
        <v>104</v>
      </c>
      <c r="B16" s="10" t="s">
        <v>164</v>
      </c>
      <c r="C16" s="14" t="s">
        <v>165</v>
      </c>
      <c r="D16" s="10"/>
      <c r="E16" s="10" t="s">
        <v>166</v>
      </c>
      <c r="F16" s="116" t="n">
        <v>100</v>
      </c>
      <c r="G16" s="116" t="n">
        <v>0</v>
      </c>
      <c r="H16" s="116">
        <f>F16*AO16</f>
      </c>
      <c r="I16" s="116">
        <f>F16*AP16</f>
      </c>
      <c r="J16" s="116">
        <f>F16*G16</f>
      </c>
      <c r="K16" s="149" t="s">
        <v>159</v>
      </c>
      <c r="Z16" s="116">
        <f>IF(AQ16="5",BJ16,0)</f>
      </c>
      <c r="AB16" s="116">
        <f>IF(AQ16="1",BH16,0)</f>
      </c>
      <c r="AC16" s="116">
        <f>IF(AQ16="1",BI16,0)</f>
      </c>
      <c r="AD16" s="116">
        <f>IF(AQ16="7",BH16,0)</f>
      </c>
      <c r="AE16" s="116">
        <f>IF(AQ16="7",BI16,0)</f>
      </c>
      <c r="AF16" s="116">
        <f>IF(AQ16="2",BH16,0)</f>
      </c>
      <c r="AG16" s="116">
        <f>IF(AQ16="2",BI16,0)</f>
      </c>
      <c r="AH16" s="116">
        <f>IF(AQ16="0",BJ16,0)</f>
      </c>
      <c r="AI16" s="131" t="s">
        <v>87</v>
      </c>
      <c r="AJ16" s="116">
        <f>IF(AN16=0,J16,0)</f>
      </c>
      <c r="AK16" s="116">
        <f>IF(AN16=12,J16,0)</f>
      </c>
      <c r="AL16" s="116">
        <f>IF(AN16=21,J16,0)</f>
      </c>
      <c r="AN16" s="116" t="n">
        <v>21</v>
      </c>
      <c r="AO16" s="116">
        <f>G16*0</f>
      </c>
      <c r="AP16" s="116">
        <f>G16*(1-0)</f>
      </c>
      <c r="AQ16" s="150" t="s">
        <v>88</v>
      </c>
      <c r="AV16" s="116">
        <f>AW16+AX16</f>
      </c>
      <c r="AW16" s="116">
        <f>F16*AO16</f>
      </c>
      <c r="AX16" s="116">
        <f>F16*AP16</f>
      </c>
      <c r="AY16" s="150" t="s">
        <v>160</v>
      </c>
      <c r="AZ16" s="150" t="s">
        <v>161</v>
      </c>
      <c r="BA16" s="131" t="s">
        <v>162</v>
      </c>
      <c r="BC16" s="116">
        <f>AW16+AX16</f>
      </c>
      <c r="BD16" s="116">
        <f>G16/(100-BE16)*100</f>
      </c>
      <c r="BE16" s="116" t="n">
        <v>0</v>
      </c>
      <c r="BF16" s="116">
        <f>16</f>
      </c>
      <c r="BH16" s="116">
        <f>F16*AO16</f>
      </c>
      <c r="BI16" s="116">
        <f>F16*AP16</f>
      </c>
      <c r="BJ16" s="116">
        <f>F16*G16</f>
      </c>
      <c r="BK16" s="116"/>
      <c r="BL16" s="116" t="n">
        <v>11</v>
      </c>
      <c r="BW16" s="116" t="n">
        <v>21</v>
      </c>
      <c r="BX16" s="14" t="s">
        <v>165</v>
      </c>
    </row>
    <row r="17" customHeight="true" ht="13.5">
      <c r="A17" s="151"/>
      <c r="C17" s="155" t="s">
        <v>167</v>
      </c>
      <c r="D17" s="152"/>
      <c r="E17" s="152"/>
      <c r="F17" s="152"/>
      <c r="G17" s="152"/>
      <c r="H17" s="152"/>
      <c r="I17" s="152"/>
      <c r="J17" s="152"/>
      <c r="K17" s="156"/>
    </row>
    <row r="18">
      <c r="A18" s="151"/>
      <c r="C18" s="152" t="s">
        <v>163</v>
      </c>
      <c r="D18" s="152" t="s">
        <v>4</v>
      </c>
      <c r="F18" s="153" t="n">
        <v>100</v>
      </c>
      <c r="K18" s="154"/>
    </row>
    <row r="19">
      <c r="A19" s="144" t="s">
        <v>4</v>
      </c>
      <c r="B19" s="145" t="s">
        <v>168</v>
      </c>
      <c r="C19" s="146" t="s">
        <v>169</v>
      </c>
      <c r="D19" s="145"/>
      <c r="E19" s="147" t="s">
        <v>79</v>
      </c>
      <c r="F19" s="147" t="s">
        <v>79</v>
      </c>
      <c r="G19" s="147" t="s">
        <v>79</v>
      </c>
      <c r="H19" s="123">
        <f>SUM(H20:H20)</f>
      </c>
      <c r="I19" s="123">
        <f>SUM(I20:I20)</f>
      </c>
      <c r="J19" s="123">
        <f>SUM(J20:J20)</f>
      </c>
      <c r="K19" s="148" t="s">
        <v>4</v>
      </c>
      <c r="AI19" s="131" t="s">
        <v>87</v>
      </c>
      <c r="AS19" s="123">
        <f>SUM(AJ20:AJ20)</f>
      </c>
      <c r="AT19" s="123">
        <f>SUM(AK20:AK20)</f>
      </c>
      <c r="AU19" s="123">
        <f>SUM(AL20:AL20)</f>
      </c>
    </row>
    <row r="20">
      <c r="A20" s="9" t="s">
        <v>91</v>
      </c>
      <c r="B20" s="10" t="s">
        <v>170</v>
      </c>
      <c r="C20" s="14" t="s">
        <v>171</v>
      </c>
      <c r="D20" s="10"/>
      <c r="E20" s="10" t="s">
        <v>172</v>
      </c>
      <c r="F20" s="116" t="n">
        <v>10</v>
      </c>
      <c r="G20" s="116" t="n">
        <v>0</v>
      </c>
      <c r="H20" s="116">
        <f>F20*AO20</f>
      </c>
      <c r="I20" s="116">
        <f>F20*AP20</f>
      </c>
      <c r="J20" s="116">
        <f>F20*G20</f>
      </c>
      <c r="K20" s="149" t="s">
        <v>159</v>
      </c>
      <c r="Z20" s="116">
        <f>IF(AQ20="5",BJ20,0)</f>
      </c>
      <c r="AB20" s="116">
        <f>IF(AQ20="1",BH20,0)</f>
      </c>
      <c r="AC20" s="116">
        <f>IF(AQ20="1",BI20,0)</f>
      </c>
      <c r="AD20" s="116">
        <f>IF(AQ20="7",BH20,0)</f>
      </c>
      <c r="AE20" s="116">
        <f>IF(AQ20="7",BI20,0)</f>
      </c>
      <c r="AF20" s="116">
        <f>IF(AQ20="2",BH20,0)</f>
      </c>
      <c r="AG20" s="116">
        <f>IF(AQ20="2",BI20,0)</f>
      </c>
      <c r="AH20" s="116">
        <f>IF(AQ20="0",BJ20,0)</f>
      </c>
      <c r="AI20" s="131" t="s">
        <v>87</v>
      </c>
      <c r="AJ20" s="116">
        <f>IF(AN20=0,J20,0)</f>
      </c>
      <c r="AK20" s="116">
        <f>IF(AN20=12,J20,0)</f>
      </c>
      <c r="AL20" s="116">
        <f>IF(AN20=21,J20,0)</f>
      </c>
      <c r="AN20" s="116" t="n">
        <v>21</v>
      </c>
      <c r="AO20" s="116">
        <f>G20*0</f>
      </c>
      <c r="AP20" s="116">
        <f>G20*(1-0)</f>
      </c>
      <c r="AQ20" s="150" t="s">
        <v>88</v>
      </c>
      <c r="AV20" s="116">
        <f>AW20+AX20</f>
      </c>
      <c r="AW20" s="116">
        <f>F20*AO20</f>
      </c>
      <c r="AX20" s="116">
        <f>F20*AP20</f>
      </c>
      <c r="AY20" s="150" t="s">
        <v>173</v>
      </c>
      <c r="AZ20" s="150" t="s">
        <v>161</v>
      </c>
      <c r="BA20" s="131" t="s">
        <v>162</v>
      </c>
      <c r="BC20" s="116">
        <f>AW20+AX20</f>
      </c>
      <c r="BD20" s="116">
        <f>G20/(100-BE20)*100</f>
      </c>
      <c r="BE20" s="116" t="n">
        <v>0</v>
      </c>
      <c r="BF20" s="116">
        <f>20</f>
      </c>
      <c r="BH20" s="116">
        <f>F20*AO20</f>
      </c>
      <c r="BI20" s="116">
        <f>F20*AP20</f>
      </c>
      <c r="BJ20" s="116">
        <f>F20*G20</f>
      </c>
      <c r="BK20" s="116"/>
      <c r="BL20" s="116" t="n">
        <v>13</v>
      </c>
      <c r="BW20" s="116" t="n">
        <v>21</v>
      </c>
      <c r="BX20" s="14" t="s">
        <v>171</v>
      </c>
    </row>
    <row r="21" customHeight="true" ht="13.5">
      <c r="A21" s="151"/>
      <c r="C21" s="155" t="s">
        <v>174</v>
      </c>
      <c r="D21" s="152"/>
      <c r="E21" s="152"/>
      <c r="F21" s="152"/>
      <c r="G21" s="152"/>
      <c r="H21" s="152"/>
      <c r="I21" s="152"/>
      <c r="J21" s="152"/>
      <c r="K21" s="156"/>
    </row>
    <row r="22">
      <c r="A22" s="151"/>
      <c r="C22" s="152" t="s">
        <v>93</v>
      </c>
      <c r="D22" s="152" t="s">
        <v>175</v>
      </c>
      <c r="F22" s="153" t="n">
        <v>5</v>
      </c>
      <c r="K22" s="154"/>
    </row>
    <row r="23">
      <c r="A23" s="151"/>
      <c r="C23" s="152" t="s">
        <v>93</v>
      </c>
      <c r="D23" s="152" t="s">
        <v>176</v>
      </c>
      <c r="F23" s="153" t="n">
        <v>5</v>
      </c>
      <c r="K23" s="154"/>
    </row>
    <row r="24">
      <c r="A24" s="151"/>
      <c r="B24" s="157" t="s">
        <v>177</v>
      </c>
      <c r="C24" s="155" t="s">
        <v>178</v>
      </c>
      <c r="D24" s="152"/>
      <c r="E24" s="152"/>
      <c r="F24" s="152"/>
      <c r="G24" s="152"/>
      <c r="H24" s="152"/>
      <c r="I24" s="152"/>
      <c r="J24" s="152"/>
      <c r="K24" s="156"/>
      <c r="BX24" s="155" t="s">
        <v>178</v>
      </c>
    </row>
    <row r="25">
      <c r="A25" s="144" t="s">
        <v>4</v>
      </c>
      <c r="B25" s="145" t="s">
        <v>179</v>
      </c>
      <c r="C25" s="146" t="s">
        <v>180</v>
      </c>
      <c r="D25" s="145"/>
      <c r="E25" s="147" t="s">
        <v>79</v>
      </c>
      <c r="F25" s="147" t="s">
        <v>79</v>
      </c>
      <c r="G25" s="147" t="s">
        <v>79</v>
      </c>
      <c r="H25" s="123">
        <f>SUM(H26:H28)</f>
      </c>
      <c r="I25" s="123">
        <f>SUM(I26:I28)</f>
      </c>
      <c r="J25" s="123">
        <f>SUM(J26:J28)</f>
      </c>
      <c r="K25" s="148" t="s">
        <v>4</v>
      </c>
      <c r="AI25" s="131" t="s">
        <v>87</v>
      </c>
      <c r="AS25" s="123">
        <f>SUM(AJ26:AJ28)</f>
      </c>
      <c r="AT25" s="123">
        <f>SUM(AK26:AK28)</f>
      </c>
      <c r="AU25" s="123">
        <f>SUM(AL26:AL28)</f>
      </c>
    </row>
    <row r="26">
      <c r="A26" s="9" t="s">
        <v>106</v>
      </c>
      <c r="B26" s="10" t="s">
        <v>181</v>
      </c>
      <c r="C26" s="14" t="s">
        <v>182</v>
      </c>
      <c r="D26" s="10"/>
      <c r="E26" s="10" t="s">
        <v>158</v>
      </c>
      <c r="F26" s="116" t="n">
        <v>48</v>
      </c>
      <c r="G26" s="116" t="n">
        <v>0</v>
      </c>
      <c r="H26" s="116">
        <f>F26*AO26</f>
      </c>
      <c r="I26" s="116">
        <f>F26*AP26</f>
      </c>
      <c r="J26" s="116">
        <f>F26*G26</f>
      </c>
      <c r="K26" s="149" t="s">
        <v>159</v>
      </c>
      <c r="Z26" s="116">
        <f>IF(AQ26="5",BJ26,0)</f>
      </c>
      <c r="AB26" s="116">
        <f>IF(AQ26="1",BH26,0)</f>
      </c>
      <c r="AC26" s="116">
        <f>IF(AQ26="1",BI26,0)</f>
      </c>
      <c r="AD26" s="116">
        <f>IF(AQ26="7",BH26,0)</f>
      </c>
      <c r="AE26" s="116">
        <f>IF(AQ26="7",BI26,0)</f>
      </c>
      <c r="AF26" s="116">
        <f>IF(AQ26="2",BH26,0)</f>
      </c>
      <c r="AG26" s="116">
        <f>IF(AQ26="2",BI26,0)</f>
      </c>
      <c r="AH26" s="116">
        <f>IF(AQ26="0",BJ26,0)</f>
      </c>
      <c r="AI26" s="131" t="s">
        <v>87</v>
      </c>
      <c r="AJ26" s="116">
        <f>IF(AN26=0,J26,0)</f>
      </c>
      <c r="AK26" s="116">
        <f>IF(AN26=12,J26,0)</f>
      </c>
      <c r="AL26" s="116">
        <f>IF(AN26=21,J26,0)</f>
      </c>
      <c r="AN26" s="116" t="n">
        <v>21</v>
      </c>
      <c r="AO26" s="116">
        <f>G26*0.18443626</f>
      </c>
      <c r="AP26" s="116">
        <f>G26*(1-0.18443626)</f>
      </c>
      <c r="AQ26" s="150" t="s">
        <v>88</v>
      </c>
      <c r="AV26" s="116">
        <f>AW26+AX26</f>
      </c>
      <c r="AW26" s="116">
        <f>F26*AO26</f>
      </c>
      <c r="AX26" s="116">
        <f>F26*AP26</f>
      </c>
      <c r="AY26" s="150" t="s">
        <v>183</v>
      </c>
      <c r="AZ26" s="150" t="s">
        <v>161</v>
      </c>
      <c r="BA26" s="131" t="s">
        <v>162</v>
      </c>
      <c r="BC26" s="116">
        <f>AW26+AX26</f>
      </c>
      <c r="BD26" s="116">
        <f>G26/(100-BE26)*100</f>
      </c>
      <c r="BE26" s="116" t="n">
        <v>0</v>
      </c>
      <c r="BF26" s="116">
        <f>26</f>
      </c>
      <c r="BH26" s="116">
        <f>F26*AO26</f>
      </c>
      <c r="BI26" s="116">
        <f>F26*AP26</f>
      </c>
      <c r="BJ26" s="116">
        <f>F26*G26</f>
      </c>
      <c r="BK26" s="116"/>
      <c r="BL26" s="116" t="n">
        <v>18</v>
      </c>
      <c r="BW26" s="116" t="n">
        <v>21</v>
      </c>
      <c r="BX26" s="14" t="s">
        <v>182</v>
      </c>
    </row>
    <row r="27">
      <c r="A27" s="151"/>
      <c r="C27" s="152" t="s">
        <v>184</v>
      </c>
      <c r="D27" s="152" t="s">
        <v>4</v>
      </c>
      <c r="F27" s="153" t="n">
        <v>48</v>
      </c>
      <c r="K27" s="154"/>
    </row>
    <row r="28">
      <c r="A28" s="9" t="s">
        <v>93</v>
      </c>
      <c r="B28" s="10" t="s">
        <v>185</v>
      </c>
      <c r="C28" s="14" t="s">
        <v>186</v>
      </c>
      <c r="D28" s="10"/>
      <c r="E28" s="10" t="s">
        <v>158</v>
      </c>
      <c r="F28" s="116" t="n">
        <v>48</v>
      </c>
      <c r="G28" s="116" t="n">
        <v>0</v>
      </c>
      <c r="H28" s="116">
        <f>F28*AO28</f>
      </c>
      <c r="I28" s="116">
        <f>F28*AP28</f>
      </c>
      <c r="J28" s="116">
        <f>F28*G28</f>
      </c>
      <c r="K28" s="149" t="s">
        <v>159</v>
      </c>
      <c r="Z28" s="116">
        <f>IF(AQ28="5",BJ28,0)</f>
      </c>
      <c r="AB28" s="116">
        <f>IF(AQ28="1",BH28,0)</f>
      </c>
      <c r="AC28" s="116">
        <f>IF(AQ28="1",BI28,0)</f>
      </c>
      <c r="AD28" s="116">
        <f>IF(AQ28="7",BH28,0)</f>
      </c>
      <c r="AE28" s="116">
        <f>IF(AQ28="7",BI28,0)</f>
      </c>
      <c r="AF28" s="116">
        <f>IF(AQ28="2",BH28,0)</f>
      </c>
      <c r="AG28" s="116">
        <f>IF(AQ28="2",BI28,0)</f>
      </c>
      <c r="AH28" s="116">
        <f>IF(AQ28="0",BJ28,0)</f>
      </c>
      <c r="AI28" s="131" t="s">
        <v>87</v>
      </c>
      <c r="AJ28" s="116">
        <f>IF(AN28=0,J28,0)</f>
      </c>
      <c r="AK28" s="116">
        <f>IF(AN28=12,J28,0)</f>
      </c>
      <c r="AL28" s="116">
        <f>IF(AN28=21,J28,0)</f>
      </c>
      <c r="AN28" s="116" t="n">
        <v>21</v>
      </c>
      <c r="AO28" s="116">
        <f>G28*0</f>
      </c>
      <c r="AP28" s="116">
        <f>G28*(1-0)</f>
      </c>
      <c r="AQ28" s="150" t="s">
        <v>88</v>
      </c>
      <c r="AV28" s="116">
        <f>AW28+AX28</f>
      </c>
      <c r="AW28" s="116">
        <f>F28*AO28</f>
      </c>
      <c r="AX28" s="116">
        <f>F28*AP28</f>
      </c>
      <c r="AY28" s="150" t="s">
        <v>183</v>
      </c>
      <c r="AZ28" s="150" t="s">
        <v>161</v>
      </c>
      <c r="BA28" s="131" t="s">
        <v>162</v>
      </c>
      <c r="BC28" s="116">
        <f>AW28+AX28</f>
      </c>
      <c r="BD28" s="116">
        <f>G28/(100-BE28)*100</f>
      </c>
      <c r="BE28" s="116" t="n">
        <v>0</v>
      </c>
      <c r="BF28" s="116">
        <f>28</f>
      </c>
      <c r="BH28" s="116">
        <f>F28*AO28</f>
      </c>
      <c r="BI28" s="116">
        <f>F28*AP28</f>
      </c>
      <c r="BJ28" s="116">
        <f>F28*G28</f>
      </c>
      <c r="BK28" s="116"/>
      <c r="BL28" s="116" t="n">
        <v>18</v>
      </c>
      <c r="BW28" s="116" t="n">
        <v>21</v>
      </c>
      <c r="BX28" s="14" t="s">
        <v>186</v>
      </c>
    </row>
    <row r="29">
      <c r="A29" s="151"/>
      <c r="C29" s="152" t="s">
        <v>184</v>
      </c>
      <c r="D29" s="152" t="s">
        <v>4</v>
      </c>
      <c r="F29" s="153" t="n">
        <v>48</v>
      </c>
      <c r="K29" s="154"/>
    </row>
    <row r="30">
      <c r="A30" s="144" t="s">
        <v>4</v>
      </c>
      <c r="B30" s="145" t="s">
        <v>187</v>
      </c>
      <c r="C30" s="146" t="s">
        <v>188</v>
      </c>
      <c r="D30" s="145"/>
      <c r="E30" s="147" t="s">
        <v>79</v>
      </c>
      <c r="F30" s="147" t="s">
        <v>79</v>
      </c>
      <c r="G30" s="147" t="s">
        <v>79</v>
      </c>
      <c r="H30" s="123">
        <f>SUM(H31:H31)</f>
      </c>
      <c r="I30" s="123">
        <f>SUM(I31:I31)</f>
      </c>
      <c r="J30" s="123">
        <f>SUM(J31:J31)</f>
      </c>
      <c r="K30" s="148" t="s">
        <v>4</v>
      </c>
      <c r="AI30" s="131" t="s">
        <v>87</v>
      </c>
      <c r="AS30" s="123">
        <f>SUM(AJ31:AJ31)</f>
      </c>
      <c r="AT30" s="123">
        <f>SUM(AK31:AK31)</f>
      </c>
      <c r="AU30" s="123">
        <f>SUM(AL31:AL31)</f>
      </c>
    </row>
    <row r="31">
      <c r="A31" s="9" t="s">
        <v>189</v>
      </c>
      <c r="B31" s="10" t="s">
        <v>190</v>
      </c>
      <c r="C31" s="14" t="s">
        <v>191</v>
      </c>
      <c r="D31" s="10"/>
      <c r="E31" s="10" t="s">
        <v>172</v>
      </c>
      <c r="F31" s="116" t="n">
        <v>4.635</v>
      </c>
      <c r="G31" s="116" t="n">
        <v>0</v>
      </c>
      <c r="H31" s="116">
        <f>F31*AO31</f>
      </c>
      <c r="I31" s="116">
        <f>F31*AP31</f>
      </c>
      <c r="J31" s="116">
        <f>F31*G31</f>
      </c>
      <c r="K31" s="149" t="s">
        <v>159</v>
      </c>
      <c r="Z31" s="116">
        <f>IF(AQ31="5",BJ31,0)</f>
      </c>
      <c r="AB31" s="116">
        <f>IF(AQ31="1",BH31,0)</f>
      </c>
      <c r="AC31" s="116">
        <f>IF(AQ31="1",BI31,0)</f>
      </c>
      <c r="AD31" s="116">
        <f>IF(AQ31="7",BH31,0)</f>
      </c>
      <c r="AE31" s="116">
        <f>IF(AQ31="7",BI31,0)</f>
      </c>
      <c r="AF31" s="116">
        <f>IF(AQ31="2",BH31,0)</f>
      </c>
      <c r="AG31" s="116">
        <f>IF(AQ31="2",BI31,0)</f>
      </c>
      <c r="AH31" s="116">
        <f>IF(AQ31="0",BJ31,0)</f>
      </c>
      <c r="AI31" s="131" t="s">
        <v>87</v>
      </c>
      <c r="AJ31" s="116">
        <f>IF(AN31=0,J31,0)</f>
      </c>
      <c r="AK31" s="116">
        <f>IF(AN31=12,J31,0)</f>
      </c>
      <c r="AL31" s="116">
        <f>IF(AN31=21,J31,0)</f>
      </c>
      <c r="AN31" s="116" t="n">
        <v>21</v>
      </c>
      <c r="AO31" s="116">
        <f>G31*0.481411794</f>
      </c>
      <c r="AP31" s="116">
        <f>G31*(1-0.481411794)</f>
      </c>
      <c r="AQ31" s="150" t="s">
        <v>88</v>
      </c>
      <c r="AV31" s="116">
        <f>AW31+AX31</f>
      </c>
      <c r="AW31" s="116">
        <f>F31*AO31</f>
      </c>
      <c r="AX31" s="116">
        <f>F31*AP31</f>
      </c>
      <c r="AY31" s="150" t="s">
        <v>192</v>
      </c>
      <c r="AZ31" s="150" t="s">
        <v>193</v>
      </c>
      <c r="BA31" s="131" t="s">
        <v>162</v>
      </c>
      <c r="BC31" s="116">
        <f>AW31+AX31</f>
      </c>
      <c r="BD31" s="116">
        <f>G31/(100-BE31)*100</f>
      </c>
      <c r="BE31" s="116" t="n">
        <v>0</v>
      </c>
      <c r="BF31" s="116">
        <f>31</f>
      </c>
      <c r="BH31" s="116">
        <f>F31*AO31</f>
      </c>
      <c r="BI31" s="116">
        <f>F31*AP31</f>
      </c>
      <c r="BJ31" s="116">
        <f>F31*G31</f>
      </c>
      <c r="BK31" s="116"/>
      <c r="BL31" s="116" t="n">
        <v>38</v>
      </c>
      <c r="BW31" s="116" t="n">
        <v>21</v>
      </c>
      <c r="BX31" s="14" t="s">
        <v>191</v>
      </c>
    </row>
    <row r="32" customHeight="true" ht="13.5">
      <c r="A32" s="151"/>
      <c r="C32" s="155" t="s">
        <v>194</v>
      </c>
      <c r="D32" s="152"/>
      <c r="E32" s="152"/>
      <c r="F32" s="152"/>
      <c r="G32" s="152"/>
      <c r="H32" s="152"/>
      <c r="I32" s="152"/>
      <c r="J32" s="152"/>
      <c r="K32" s="156"/>
    </row>
    <row r="33">
      <c r="A33" s="151"/>
      <c r="C33" s="152" t="s">
        <v>195</v>
      </c>
      <c r="D33" s="152" t="s">
        <v>196</v>
      </c>
      <c r="F33" s="153" t="n">
        <v>4.635</v>
      </c>
      <c r="K33" s="154"/>
    </row>
    <row r="34">
      <c r="A34" s="144" t="s">
        <v>4</v>
      </c>
      <c r="B34" s="145" t="s">
        <v>197</v>
      </c>
      <c r="C34" s="146" t="s">
        <v>198</v>
      </c>
      <c r="D34" s="145"/>
      <c r="E34" s="147" t="s">
        <v>79</v>
      </c>
      <c r="F34" s="147" t="s">
        <v>79</v>
      </c>
      <c r="G34" s="147" t="s">
        <v>79</v>
      </c>
      <c r="H34" s="123">
        <f>SUM(H35:H40)</f>
      </c>
      <c r="I34" s="123">
        <f>SUM(I35:I40)</f>
      </c>
      <c r="J34" s="123">
        <f>SUM(J35:J40)</f>
      </c>
      <c r="K34" s="148" t="s">
        <v>4</v>
      </c>
      <c r="AI34" s="131" t="s">
        <v>87</v>
      </c>
      <c r="AS34" s="123">
        <f>SUM(AJ35:AJ40)</f>
      </c>
      <c r="AT34" s="123">
        <f>SUM(AK35:AK40)</f>
      </c>
      <c r="AU34" s="123">
        <f>SUM(AL35:AL40)</f>
      </c>
    </row>
    <row r="35">
      <c r="A35" s="9" t="s">
        <v>199</v>
      </c>
      <c r="B35" s="10" t="s">
        <v>200</v>
      </c>
      <c r="C35" s="14" t="s">
        <v>201</v>
      </c>
      <c r="D35" s="10"/>
      <c r="E35" s="10" t="s">
        <v>158</v>
      </c>
      <c r="F35" s="116" t="n">
        <v>700</v>
      </c>
      <c r="G35" s="116" t="n">
        <v>0</v>
      </c>
      <c r="H35" s="116">
        <f>F35*AO35</f>
      </c>
      <c r="I35" s="116">
        <f>F35*AP35</f>
      </c>
      <c r="J35" s="116">
        <f>F35*G35</f>
      </c>
      <c r="K35" s="149" t="s">
        <v>202</v>
      </c>
      <c r="Z35" s="116">
        <f>IF(AQ35="5",BJ35,0)</f>
      </c>
      <c r="AB35" s="116">
        <f>IF(AQ35="1",BH35,0)</f>
      </c>
      <c r="AC35" s="116">
        <f>IF(AQ35="1",BI35,0)</f>
      </c>
      <c r="AD35" s="116">
        <f>IF(AQ35="7",BH35,0)</f>
      </c>
      <c r="AE35" s="116">
        <f>IF(AQ35="7",BI35,0)</f>
      </c>
      <c r="AF35" s="116">
        <f>IF(AQ35="2",BH35,0)</f>
      </c>
      <c r="AG35" s="116">
        <f>IF(AQ35="2",BI35,0)</f>
      </c>
      <c r="AH35" s="116">
        <f>IF(AQ35="0",BJ35,0)</f>
      </c>
      <c r="AI35" s="131" t="s">
        <v>87</v>
      </c>
      <c r="AJ35" s="116">
        <f>IF(AN35=0,J35,0)</f>
      </c>
      <c r="AK35" s="116">
        <f>IF(AN35=12,J35,0)</f>
      </c>
      <c r="AL35" s="116">
        <f>IF(AN35=21,J35,0)</f>
      </c>
      <c r="AN35" s="116" t="n">
        <v>21</v>
      </c>
      <c r="AO35" s="116">
        <f>G35*0.357772277</f>
      </c>
      <c r="AP35" s="116">
        <f>G35*(1-0.357772277)</f>
      </c>
      <c r="AQ35" s="150" t="s">
        <v>88</v>
      </c>
      <c r="AV35" s="116">
        <f>AW35+AX35</f>
      </c>
      <c r="AW35" s="116">
        <f>F35*AO35</f>
      </c>
      <c r="AX35" s="116">
        <f>F35*AP35</f>
      </c>
      <c r="AY35" s="150" t="s">
        <v>203</v>
      </c>
      <c r="AZ35" s="150" t="s">
        <v>204</v>
      </c>
      <c r="BA35" s="131" t="s">
        <v>162</v>
      </c>
      <c r="BC35" s="116">
        <f>AW35+AX35</f>
      </c>
      <c r="BD35" s="116">
        <f>G35/(100-BE35)*100</f>
      </c>
      <c r="BE35" s="116" t="n">
        <v>0</v>
      </c>
      <c r="BF35" s="116">
        <f>35</f>
      </c>
      <c r="BH35" s="116">
        <f>F35*AO35</f>
      </c>
      <c r="BI35" s="116">
        <f>F35*AP35</f>
      </c>
      <c r="BJ35" s="116">
        <f>F35*G35</f>
      </c>
      <c r="BK35" s="116"/>
      <c r="BL35" s="116" t="n">
        <v>58</v>
      </c>
      <c r="BW35" s="116" t="n">
        <v>21</v>
      </c>
      <c r="BX35" s="14" t="s">
        <v>201</v>
      </c>
    </row>
    <row r="36" customHeight="true" ht="13.5">
      <c r="A36" s="151"/>
      <c r="C36" s="155" t="s">
        <v>205</v>
      </c>
      <c r="D36" s="152"/>
      <c r="E36" s="152"/>
      <c r="F36" s="152"/>
      <c r="G36" s="152"/>
      <c r="H36" s="152"/>
      <c r="I36" s="152"/>
      <c r="J36" s="152"/>
      <c r="K36" s="156"/>
    </row>
    <row r="37">
      <c r="A37" s="151"/>
      <c r="C37" s="152" t="s">
        <v>206</v>
      </c>
      <c r="D37" s="152" t="s">
        <v>4</v>
      </c>
      <c r="F37" s="153" t="n">
        <v>700</v>
      </c>
      <c r="K37" s="154"/>
    </row>
    <row r="38">
      <c r="A38" s="9" t="s">
        <v>110</v>
      </c>
      <c r="B38" s="10" t="s">
        <v>207</v>
      </c>
      <c r="C38" s="14" t="s">
        <v>208</v>
      </c>
      <c r="D38" s="10"/>
      <c r="E38" s="10" t="s">
        <v>158</v>
      </c>
      <c r="F38" s="116" t="n">
        <v>700</v>
      </c>
      <c r="G38" s="116" t="n">
        <v>0</v>
      </c>
      <c r="H38" s="116">
        <f>F38*AO38</f>
      </c>
      <c r="I38" s="116">
        <f>F38*AP38</f>
      </c>
      <c r="J38" s="116">
        <f>F38*G38</f>
      </c>
      <c r="K38" s="149" t="s">
        <v>159</v>
      </c>
      <c r="Z38" s="116">
        <f>IF(AQ38="5",BJ38,0)</f>
      </c>
      <c r="AB38" s="116">
        <f>IF(AQ38="1",BH38,0)</f>
      </c>
      <c r="AC38" s="116">
        <f>IF(AQ38="1",BI38,0)</f>
      </c>
      <c r="AD38" s="116">
        <f>IF(AQ38="7",BH38,0)</f>
      </c>
      <c r="AE38" s="116">
        <f>IF(AQ38="7",BI38,0)</f>
      </c>
      <c r="AF38" s="116">
        <f>IF(AQ38="2",BH38,0)</f>
      </c>
      <c r="AG38" s="116">
        <f>IF(AQ38="2",BI38,0)</f>
      </c>
      <c r="AH38" s="116">
        <f>IF(AQ38="0",BJ38,0)</f>
      </c>
      <c r="AI38" s="131" t="s">
        <v>87</v>
      </c>
      <c r="AJ38" s="116">
        <f>IF(AN38=0,J38,0)</f>
      </c>
      <c r="AK38" s="116">
        <f>IF(AN38=12,J38,0)</f>
      </c>
      <c r="AL38" s="116">
        <f>IF(AN38=21,J38,0)</f>
      </c>
      <c r="AN38" s="116" t="n">
        <v>21</v>
      </c>
      <c r="AO38" s="116">
        <f>G38*0.95173003</f>
      </c>
      <c r="AP38" s="116">
        <f>G38*(1-0.95173003)</f>
      </c>
      <c r="AQ38" s="150" t="s">
        <v>88</v>
      </c>
      <c r="AV38" s="116">
        <f>AW38+AX38</f>
      </c>
      <c r="AW38" s="116">
        <f>F38*AO38</f>
      </c>
      <c r="AX38" s="116">
        <f>F38*AP38</f>
      </c>
      <c r="AY38" s="150" t="s">
        <v>203</v>
      </c>
      <c r="AZ38" s="150" t="s">
        <v>204</v>
      </c>
      <c r="BA38" s="131" t="s">
        <v>162</v>
      </c>
      <c r="BC38" s="116">
        <f>AW38+AX38</f>
      </c>
      <c r="BD38" s="116">
        <f>G38/(100-BE38)*100</f>
      </c>
      <c r="BE38" s="116" t="n">
        <v>0</v>
      </c>
      <c r="BF38" s="116">
        <f>38</f>
      </c>
      <c r="BH38" s="116">
        <f>F38*AO38</f>
      </c>
      <c r="BI38" s="116">
        <f>F38*AP38</f>
      </c>
      <c r="BJ38" s="116">
        <f>F38*G38</f>
      </c>
      <c r="BK38" s="116"/>
      <c r="BL38" s="116" t="n">
        <v>58</v>
      </c>
      <c r="BW38" s="116" t="n">
        <v>21</v>
      </c>
      <c r="BX38" s="14" t="s">
        <v>208</v>
      </c>
    </row>
    <row r="39">
      <c r="A39" s="151"/>
      <c r="C39" s="152" t="s">
        <v>206</v>
      </c>
      <c r="D39" s="152" t="s">
        <v>4</v>
      </c>
      <c r="F39" s="153" t="n">
        <v>700</v>
      </c>
      <c r="K39" s="154"/>
    </row>
    <row r="40">
      <c r="A40" s="9" t="s">
        <v>99</v>
      </c>
      <c r="B40" s="10" t="s">
        <v>209</v>
      </c>
      <c r="C40" s="14" t="s">
        <v>210</v>
      </c>
      <c r="D40" s="10"/>
      <c r="E40" s="10" t="s">
        <v>158</v>
      </c>
      <c r="F40" s="116" t="n">
        <v>700</v>
      </c>
      <c r="G40" s="116" t="n">
        <v>0</v>
      </c>
      <c r="H40" s="116">
        <f>F40*AO40</f>
      </c>
      <c r="I40" s="116">
        <f>F40*AP40</f>
      </c>
      <c r="J40" s="116">
        <f>F40*G40</f>
      </c>
      <c r="K40" s="149" t="s">
        <v>159</v>
      </c>
      <c r="Z40" s="116">
        <f>IF(AQ40="5",BJ40,0)</f>
      </c>
      <c r="AB40" s="116">
        <f>IF(AQ40="1",BH40,0)</f>
      </c>
      <c r="AC40" s="116">
        <f>IF(AQ40="1",BI40,0)</f>
      </c>
      <c r="AD40" s="116">
        <f>IF(AQ40="7",BH40,0)</f>
      </c>
      <c r="AE40" s="116">
        <f>IF(AQ40="7",BI40,0)</f>
      </c>
      <c r="AF40" s="116">
        <f>IF(AQ40="2",BH40,0)</f>
      </c>
      <c r="AG40" s="116">
        <f>IF(AQ40="2",BI40,0)</f>
      </c>
      <c r="AH40" s="116">
        <f>IF(AQ40="0",BJ40,0)</f>
      </c>
      <c r="AI40" s="131" t="s">
        <v>87</v>
      </c>
      <c r="AJ40" s="116">
        <f>IF(AN40=0,J40,0)</f>
      </c>
      <c r="AK40" s="116">
        <f>IF(AN40=12,J40,0)</f>
      </c>
      <c r="AL40" s="116">
        <f>IF(AN40=21,J40,0)</f>
      </c>
      <c r="AN40" s="116" t="n">
        <v>21</v>
      </c>
      <c r="AO40" s="116">
        <f>G40*0.522076613</f>
      </c>
      <c r="AP40" s="116">
        <f>G40*(1-0.522076613)</f>
      </c>
      <c r="AQ40" s="150" t="s">
        <v>88</v>
      </c>
      <c r="AV40" s="116">
        <f>AW40+AX40</f>
      </c>
      <c r="AW40" s="116">
        <f>F40*AO40</f>
      </c>
      <c r="AX40" s="116">
        <f>F40*AP40</f>
      </c>
      <c r="AY40" s="150" t="s">
        <v>203</v>
      </c>
      <c r="AZ40" s="150" t="s">
        <v>204</v>
      </c>
      <c r="BA40" s="131" t="s">
        <v>162</v>
      </c>
      <c r="BC40" s="116">
        <f>AW40+AX40</f>
      </c>
      <c r="BD40" s="116">
        <f>G40/(100-BE40)*100</f>
      </c>
      <c r="BE40" s="116" t="n">
        <v>0</v>
      </c>
      <c r="BF40" s="116">
        <f>40</f>
      </c>
      <c r="BH40" s="116">
        <f>F40*AO40</f>
      </c>
      <c r="BI40" s="116">
        <f>F40*AP40</f>
      </c>
      <c r="BJ40" s="116">
        <f>F40*G40</f>
      </c>
      <c r="BK40" s="116"/>
      <c r="BL40" s="116" t="n">
        <v>58</v>
      </c>
      <c r="BW40" s="116" t="n">
        <v>21</v>
      </c>
      <c r="BX40" s="14" t="s">
        <v>210</v>
      </c>
    </row>
    <row r="41">
      <c r="A41" s="151"/>
      <c r="C41" s="152" t="s">
        <v>206</v>
      </c>
      <c r="D41" s="152" t="s">
        <v>4</v>
      </c>
      <c r="F41" s="153" t="n">
        <v>700</v>
      </c>
      <c r="K41" s="154"/>
    </row>
    <row r="42">
      <c r="A42" s="144" t="s">
        <v>4</v>
      </c>
      <c r="B42" s="145" t="s">
        <v>211</v>
      </c>
      <c r="C42" s="146" t="s">
        <v>212</v>
      </c>
      <c r="D42" s="145"/>
      <c r="E42" s="147" t="s">
        <v>79</v>
      </c>
      <c r="F42" s="147" t="s">
        <v>79</v>
      </c>
      <c r="G42" s="147" t="s">
        <v>79</v>
      </c>
      <c r="H42" s="123">
        <f>SUM(H43:H53)</f>
      </c>
      <c r="I42" s="123">
        <f>SUM(I43:I53)</f>
      </c>
      <c r="J42" s="123">
        <f>SUM(J43:J53)</f>
      </c>
      <c r="K42" s="148" t="s">
        <v>4</v>
      </c>
      <c r="AI42" s="131" t="s">
        <v>87</v>
      </c>
      <c r="AS42" s="123">
        <f>SUM(AJ43:AJ53)</f>
      </c>
      <c r="AT42" s="123">
        <f>SUM(AK43:AK53)</f>
      </c>
      <c r="AU42" s="123">
        <f>SUM(AL43:AL53)</f>
      </c>
    </row>
    <row r="43">
      <c r="A43" s="9" t="s">
        <v>213</v>
      </c>
      <c r="B43" s="10" t="s">
        <v>214</v>
      </c>
      <c r="C43" s="14" t="s">
        <v>215</v>
      </c>
      <c r="D43" s="10"/>
      <c r="E43" s="10" t="s">
        <v>216</v>
      </c>
      <c r="F43" s="116" t="n">
        <v>332</v>
      </c>
      <c r="G43" s="116" t="n">
        <v>0</v>
      </c>
      <c r="H43" s="116">
        <f>F43*AO43</f>
      </c>
      <c r="I43" s="116">
        <f>F43*AP43</f>
      </c>
      <c r="J43" s="116">
        <f>F43*G43</f>
      </c>
      <c r="K43" s="149" t="s">
        <v>202</v>
      </c>
      <c r="Z43" s="116">
        <f>IF(AQ43="5",BJ43,0)</f>
      </c>
      <c r="AB43" s="116">
        <f>IF(AQ43="1",BH43,0)</f>
      </c>
      <c r="AC43" s="116">
        <f>IF(AQ43="1",BI43,0)</f>
      </c>
      <c r="AD43" s="116">
        <f>IF(AQ43="7",BH43,0)</f>
      </c>
      <c r="AE43" s="116">
        <f>IF(AQ43="7",BI43,0)</f>
      </c>
      <c r="AF43" s="116">
        <f>IF(AQ43="2",BH43,0)</f>
      </c>
      <c r="AG43" s="116">
        <f>IF(AQ43="2",BI43,0)</f>
      </c>
      <c r="AH43" s="116">
        <f>IF(AQ43="0",BJ43,0)</f>
      </c>
      <c r="AI43" s="131" t="s">
        <v>87</v>
      </c>
      <c r="AJ43" s="116">
        <f>IF(AN43=0,J43,0)</f>
      </c>
      <c r="AK43" s="116">
        <f>IF(AN43=12,J43,0)</f>
      </c>
      <c r="AL43" s="116">
        <f>IF(AN43=21,J43,0)</f>
      </c>
      <c r="AN43" s="116" t="n">
        <v>21</v>
      </c>
      <c r="AO43" s="116">
        <f>G43*0.083932584</f>
      </c>
      <c r="AP43" s="116">
        <f>G43*(1-0.083932584)</f>
      </c>
      <c r="AQ43" s="150" t="s">
        <v>199</v>
      </c>
      <c r="AV43" s="116">
        <f>AW43+AX43</f>
      </c>
      <c r="AW43" s="116">
        <f>F43*AO43</f>
      </c>
      <c r="AX43" s="116">
        <f>F43*AP43</f>
      </c>
      <c r="AY43" s="150" t="s">
        <v>217</v>
      </c>
      <c r="AZ43" s="150" t="s">
        <v>218</v>
      </c>
      <c r="BA43" s="131" t="s">
        <v>162</v>
      </c>
      <c r="BC43" s="116">
        <f>AW43+AX43</f>
      </c>
      <c r="BD43" s="116">
        <f>G43/(100-BE43)*100</f>
      </c>
      <c r="BE43" s="116" t="n">
        <v>0</v>
      </c>
      <c r="BF43" s="116">
        <f>43</f>
      </c>
      <c r="BH43" s="116">
        <f>F43*AO43</f>
      </c>
      <c r="BI43" s="116">
        <f>F43*AP43</f>
      </c>
      <c r="BJ43" s="116">
        <f>F43*G43</f>
      </c>
      <c r="BK43" s="116"/>
      <c r="BL43" s="116" t="n">
        <v>767</v>
      </c>
      <c r="BW43" s="116" t="n">
        <v>21</v>
      </c>
      <c r="BX43" s="14" t="s">
        <v>215</v>
      </c>
    </row>
    <row r="44">
      <c r="A44" s="151"/>
      <c r="C44" s="152" t="s">
        <v>219</v>
      </c>
      <c r="D44" s="152" t="s">
        <v>4</v>
      </c>
      <c r="F44" s="153" t="n">
        <v>332</v>
      </c>
      <c r="K44" s="154"/>
    </row>
    <row r="45">
      <c r="A45" s="151"/>
      <c r="B45" s="157" t="s">
        <v>177</v>
      </c>
      <c r="C45" s="155" t="s">
        <v>220</v>
      </c>
      <c r="D45" s="152"/>
      <c r="E45" s="152"/>
      <c r="F45" s="152"/>
      <c r="G45" s="152"/>
      <c r="H45" s="152"/>
      <c r="I45" s="152"/>
      <c r="J45" s="152"/>
      <c r="K45" s="156"/>
      <c r="BX45" s="155" t="s">
        <v>220</v>
      </c>
    </row>
    <row r="46">
      <c r="A46" s="9" t="s">
        <v>154</v>
      </c>
      <c r="B46" s="10" t="s">
        <v>221</v>
      </c>
      <c r="C46" s="14" t="s">
        <v>222</v>
      </c>
      <c r="D46" s="10"/>
      <c r="E46" s="10" t="s">
        <v>223</v>
      </c>
      <c r="F46" s="116" t="n">
        <v>1864.4</v>
      </c>
      <c r="G46" s="116" t="n">
        <v>0</v>
      </c>
      <c r="H46" s="116">
        <f>F46*AO46</f>
      </c>
      <c r="I46" s="116">
        <f>F46*AP46</f>
      </c>
      <c r="J46" s="116">
        <f>F46*G46</f>
      </c>
      <c r="K46" s="149" t="s">
        <v>159</v>
      </c>
      <c r="Z46" s="116">
        <f>IF(AQ46="5",BJ46,0)</f>
      </c>
      <c r="AB46" s="116">
        <f>IF(AQ46="1",BH46,0)</f>
      </c>
      <c r="AC46" s="116">
        <f>IF(AQ46="1",BI46,0)</f>
      </c>
      <c r="AD46" s="116">
        <f>IF(AQ46="7",BH46,0)</f>
      </c>
      <c r="AE46" s="116">
        <f>IF(AQ46="7",BI46,0)</f>
      </c>
      <c r="AF46" s="116">
        <f>IF(AQ46="2",BH46,0)</f>
      </c>
      <c r="AG46" s="116">
        <f>IF(AQ46="2",BI46,0)</f>
      </c>
      <c r="AH46" s="116">
        <f>IF(AQ46="0",BJ46,0)</f>
      </c>
      <c r="AI46" s="131" t="s">
        <v>87</v>
      </c>
      <c r="AJ46" s="116">
        <f>IF(AN46=0,J46,0)</f>
      </c>
      <c r="AK46" s="116">
        <f>IF(AN46=12,J46,0)</f>
      </c>
      <c r="AL46" s="116">
        <f>IF(AN46=21,J46,0)</f>
      </c>
      <c r="AN46" s="116" t="n">
        <v>21</v>
      </c>
      <c r="AO46" s="116">
        <f>G46*0.206012116</f>
      </c>
      <c r="AP46" s="116">
        <f>G46*(1-0.206012116)</f>
      </c>
      <c r="AQ46" s="150" t="s">
        <v>199</v>
      </c>
      <c r="AV46" s="116">
        <f>AW46+AX46</f>
      </c>
      <c r="AW46" s="116">
        <f>F46*AO46</f>
      </c>
      <c r="AX46" s="116">
        <f>F46*AP46</f>
      </c>
      <c r="AY46" s="150" t="s">
        <v>217</v>
      </c>
      <c r="AZ46" s="150" t="s">
        <v>218</v>
      </c>
      <c r="BA46" s="131" t="s">
        <v>162</v>
      </c>
      <c r="BC46" s="116">
        <f>AW46+AX46</f>
      </c>
      <c r="BD46" s="116">
        <f>G46/(100-BE46)*100</f>
      </c>
      <c r="BE46" s="116" t="n">
        <v>0</v>
      </c>
      <c r="BF46" s="116">
        <f>46</f>
      </c>
      <c r="BH46" s="116">
        <f>F46*AO46</f>
      </c>
      <c r="BI46" s="116">
        <f>F46*AP46</f>
      </c>
      <c r="BJ46" s="116">
        <f>F46*G46</f>
      </c>
      <c r="BK46" s="116"/>
      <c r="BL46" s="116" t="n">
        <v>767</v>
      </c>
      <c r="BW46" s="116" t="n">
        <v>21</v>
      </c>
      <c r="BX46" s="14" t="s">
        <v>222</v>
      </c>
    </row>
    <row r="47" customHeight="true" ht="13.5">
      <c r="A47" s="151"/>
      <c r="C47" s="155" t="s">
        <v>224</v>
      </c>
      <c r="D47" s="152"/>
      <c r="E47" s="152"/>
      <c r="F47" s="152"/>
      <c r="G47" s="152"/>
      <c r="H47" s="152"/>
      <c r="I47" s="152"/>
      <c r="J47" s="152"/>
      <c r="K47" s="156"/>
    </row>
    <row r="48">
      <c r="A48" s="151"/>
      <c r="C48" s="152" t="s">
        <v>225</v>
      </c>
      <c r="D48" s="152" t="s">
        <v>226</v>
      </c>
      <c r="F48" s="153" t="n">
        <v>241.5</v>
      </c>
      <c r="K48" s="154"/>
    </row>
    <row r="49">
      <c r="A49" s="151"/>
      <c r="C49" s="152" t="s">
        <v>227</v>
      </c>
      <c r="D49" s="152" t="s">
        <v>228</v>
      </c>
      <c r="F49" s="153" t="n">
        <v>582.9</v>
      </c>
      <c r="K49" s="154"/>
    </row>
    <row r="50">
      <c r="A50" s="151"/>
      <c r="C50" s="152" t="s">
        <v>229</v>
      </c>
      <c r="D50" s="152" t="s">
        <v>230</v>
      </c>
      <c r="F50" s="153" t="n">
        <v>540</v>
      </c>
      <c r="K50" s="154"/>
    </row>
    <row r="51">
      <c r="A51" s="151"/>
      <c r="C51" s="152" t="s">
        <v>231</v>
      </c>
      <c r="D51" s="152" t="s">
        <v>232</v>
      </c>
      <c r="F51" s="153" t="n">
        <v>500</v>
      </c>
      <c r="K51" s="154"/>
    </row>
    <row r="52">
      <c r="A52" s="151"/>
      <c r="B52" s="157" t="s">
        <v>177</v>
      </c>
      <c r="C52" s="155" t="s">
        <v>233</v>
      </c>
      <c r="D52" s="152"/>
      <c r="E52" s="152"/>
      <c r="F52" s="152"/>
      <c r="G52" s="152"/>
      <c r="H52" s="152"/>
      <c r="I52" s="152"/>
      <c r="J52" s="152"/>
      <c r="K52" s="156"/>
      <c r="BX52" s="155" t="s">
        <v>233</v>
      </c>
    </row>
    <row r="53">
      <c r="A53" s="9" t="s">
        <v>234</v>
      </c>
      <c r="B53" s="10" t="s">
        <v>235</v>
      </c>
      <c r="C53" s="14" t="s">
        <v>236</v>
      </c>
      <c r="D53" s="10"/>
      <c r="E53" s="10" t="s">
        <v>223</v>
      </c>
      <c r="F53" s="116" t="n">
        <v>1460</v>
      </c>
      <c r="G53" s="116" t="n">
        <v>0</v>
      </c>
      <c r="H53" s="116">
        <f>F53*AO53</f>
      </c>
      <c r="I53" s="116">
        <f>F53*AP53</f>
      </c>
      <c r="J53" s="116">
        <f>F53*G53</f>
      </c>
      <c r="K53" s="149" t="s">
        <v>159</v>
      </c>
      <c r="Z53" s="116">
        <f>IF(AQ53="5",BJ53,0)</f>
      </c>
      <c r="AB53" s="116">
        <f>IF(AQ53="1",BH53,0)</f>
      </c>
      <c r="AC53" s="116">
        <f>IF(AQ53="1",BI53,0)</f>
      </c>
      <c r="AD53" s="116">
        <f>IF(AQ53="7",BH53,0)</f>
      </c>
      <c r="AE53" s="116">
        <f>IF(AQ53="7",BI53,0)</f>
      </c>
      <c r="AF53" s="116">
        <f>IF(AQ53="2",BH53,0)</f>
      </c>
      <c r="AG53" s="116">
        <f>IF(AQ53="2",BI53,0)</f>
      </c>
      <c r="AH53" s="116">
        <f>IF(AQ53="0",BJ53,0)</f>
      </c>
      <c r="AI53" s="131" t="s">
        <v>87</v>
      </c>
      <c r="AJ53" s="116">
        <f>IF(AN53=0,J53,0)</f>
      </c>
      <c r="AK53" s="116">
        <f>IF(AN53=12,J53,0)</f>
      </c>
      <c r="AL53" s="116">
        <f>IF(AN53=21,J53,0)</f>
      </c>
      <c r="AN53" s="116" t="n">
        <v>21</v>
      </c>
      <c r="AO53" s="116">
        <f>G53*0.561057269</f>
      </c>
      <c r="AP53" s="116">
        <f>G53*(1-0.561057269)</f>
      </c>
      <c r="AQ53" s="150" t="s">
        <v>199</v>
      </c>
      <c r="AV53" s="116">
        <f>AW53+AX53</f>
      </c>
      <c r="AW53" s="116">
        <f>F53*AO53</f>
      </c>
      <c r="AX53" s="116">
        <f>F53*AP53</f>
      </c>
      <c r="AY53" s="150" t="s">
        <v>217</v>
      </c>
      <c r="AZ53" s="150" t="s">
        <v>218</v>
      </c>
      <c r="BA53" s="131" t="s">
        <v>162</v>
      </c>
      <c r="BC53" s="116">
        <f>AW53+AX53</f>
      </c>
      <c r="BD53" s="116">
        <f>G53/(100-BE53)*100</f>
      </c>
      <c r="BE53" s="116" t="n">
        <v>0</v>
      </c>
      <c r="BF53" s="116">
        <f>53</f>
      </c>
      <c r="BH53" s="116">
        <f>F53*AO53</f>
      </c>
      <c r="BI53" s="116">
        <f>F53*AP53</f>
      </c>
      <c r="BJ53" s="116">
        <f>F53*G53</f>
      </c>
      <c r="BK53" s="116"/>
      <c r="BL53" s="116" t="n">
        <v>767</v>
      </c>
      <c r="BW53" s="116" t="n">
        <v>21</v>
      </c>
      <c r="BX53" s="14" t="s">
        <v>236</v>
      </c>
    </row>
    <row r="54" customHeight="true" ht="13.5">
      <c r="A54" s="151"/>
      <c r="C54" s="155" t="s">
        <v>237</v>
      </c>
      <c r="D54" s="152"/>
      <c r="E54" s="152"/>
      <c r="F54" s="152"/>
      <c r="G54" s="152"/>
      <c r="H54" s="152"/>
      <c r="I54" s="152"/>
      <c r="J54" s="152"/>
      <c r="K54" s="156"/>
    </row>
    <row r="55">
      <c r="A55" s="151"/>
      <c r="C55" s="152" t="s">
        <v>229</v>
      </c>
      <c r="D55" s="152" t="s">
        <v>230</v>
      </c>
      <c r="F55" s="153" t="n">
        <v>540</v>
      </c>
      <c r="K55" s="154"/>
    </row>
    <row r="56">
      <c r="A56" s="151"/>
      <c r="C56" s="152" t="s">
        <v>238</v>
      </c>
      <c r="D56" s="152" t="s">
        <v>239</v>
      </c>
      <c r="F56" s="153" t="n">
        <v>650</v>
      </c>
      <c r="K56" s="154"/>
    </row>
    <row r="57">
      <c r="A57" s="151"/>
      <c r="C57" s="152" t="s">
        <v>240</v>
      </c>
      <c r="D57" s="152" t="s">
        <v>241</v>
      </c>
      <c r="F57" s="153" t="n">
        <v>270</v>
      </c>
      <c r="K57" s="154"/>
    </row>
    <row r="58">
      <c r="A58" s="144" t="s">
        <v>4</v>
      </c>
      <c r="B58" s="145" t="s">
        <v>242</v>
      </c>
      <c r="C58" s="146" t="s">
        <v>243</v>
      </c>
      <c r="D58" s="145"/>
      <c r="E58" s="147" t="s">
        <v>79</v>
      </c>
      <c r="F58" s="147" t="s">
        <v>79</v>
      </c>
      <c r="G58" s="147" t="s">
        <v>79</v>
      </c>
      <c r="H58" s="123">
        <f>SUM(H59:H62)</f>
      </c>
      <c r="I58" s="123">
        <f>SUM(I59:I62)</f>
      </c>
      <c r="J58" s="123">
        <f>SUM(J59:J62)</f>
      </c>
      <c r="K58" s="148" t="s">
        <v>4</v>
      </c>
      <c r="AI58" s="131" t="s">
        <v>87</v>
      </c>
      <c r="AS58" s="123">
        <f>SUM(AJ59:AJ62)</f>
      </c>
      <c r="AT58" s="123">
        <f>SUM(AK59:AK62)</f>
      </c>
      <c r="AU58" s="123">
        <f>SUM(AL59:AL62)</f>
      </c>
    </row>
    <row r="59">
      <c r="A59" s="9" t="s">
        <v>168</v>
      </c>
      <c r="B59" s="10" t="s">
        <v>244</v>
      </c>
      <c r="C59" s="14" t="s">
        <v>245</v>
      </c>
      <c r="D59" s="10"/>
      <c r="E59" s="10" t="s">
        <v>158</v>
      </c>
      <c r="F59" s="116" t="n">
        <v>60</v>
      </c>
      <c r="G59" s="116" t="n">
        <v>0</v>
      </c>
      <c r="H59" s="116">
        <f>F59*AO59</f>
      </c>
      <c r="I59" s="116">
        <f>F59*AP59</f>
      </c>
      <c r="J59" s="116">
        <f>F59*G59</f>
      </c>
      <c r="K59" s="149" t="s">
        <v>159</v>
      </c>
      <c r="Z59" s="116">
        <f>IF(AQ59="5",BJ59,0)</f>
      </c>
      <c r="AB59" s="116">
        <f>IF(AQ59="1",BH59,0)</f>
      </c>
      <c r="AC59" s="116">
        <f>IF(AQ59="1",BI59,0)</f>
      </c>
      <c r="AD59" s="116">
        <f>IF(AQ59="7",BH59,0)</f>
      </c>
      <c r="AE59" s="116">
        <f>IF(AQ59="7",BI59,0)</f>
      </c>
      <c r="AF59" s="116">
        <f>IF(AQ59="2",BH59,0)</f>
      </c>
      <c r="AG59" s="116">
        <f>IF(AQ59="2",BI59,0)</f>
      </c>
      <c r="AH59" s="116">
        <f>IF(AQ59="0",BJ59,0)</f>
      </c>
      <c r="AI59" s="131" t="s">
        <v>87</v>
      </c>
      <c r="AJ59" s="116">
        <f>IF(AN59=0,J59,0)</f>
      </c>
      <c r="AK59" s="116">
        <f>IF(AN59=12,J59,0)</f>
      </c>
      <c r="AL59" s="116">
        <f>IF(AN59=21,J59,0)</f>
      </c>
      <c r="AN59" s="116" t="n">
        <v>21</v>
      </c>
      <c r="AO59" s="116">
        <f>G59*0.101375516</f>
      </c>
      <c r="AP59" s="116">
        <f>G59*(1-0.101375516)</f>
      </c>
      <c r="AQ59" s="150" t="s">
        <v>199</v>
      </c>
      <c r="AV59" s="116">
        <f>AW59+AX59</f>
      </c>
      <c r="AW59" s="116">
        <f>F59*AO59</f>
      </c>
      <c r="AX59" s="116">
        <f>F59*AP59</f>
      </c>
      <c r="AY59" s="150" t="s">
        <v>246</v>
      </c>
      <c r="AZ59" s="150" t="s">
        <v>247</v>
      </c>
      <c r="BA59" s="131" t="s">
        <v>162</v>
      </c>
      <c r="BC59" s="116">
        <f>AW59+AX59</f>
      </c>
      <c r="BD59" s="116">
        <f>G59/(100-BE59)*100</f>
      </c>
      <c r="BE59" s="116" t="n">
        <v>0</v>
      </c>
      <c r="BF59" s="116">
        <f>59</f>
      </c>
      <c r="BH59" s="116">
        <f>F59*AO59</f>
      </c>
      <c r="BI59" s="116">
        <f>F59*AP59</f>
      </c>
      <c r="BJ59" s="116">
        <f>F59*G59</f>
      </c>
      <c r="BK59" s="116"/>
      <c r="BL59" s="116" t="n">
        <v>783</v>
      </c>
      <c r="BW59" s="116" t="n">
        <v>21</v>
      </c>
      <c r="BX59" s="14" t="s">
        <v>245</v>
      </c>
    </row>
    <row r="60" customHeight="true" ht="13.5">
      <c r="A60" s="151"/>
      <c r="C60" s="155" t="s">
        <v>248</v>
      </c>
      <c r="D60" s="152"/>
      <c r="E60" s="152"/>
      <c r="F60" s="152"/>
      <c r="G60" s="152"/>
      <c r="H60" s="152"/>
      <c r="I60" s="152"/>
      <c r="J60" s="152"/>
      <c r="K60" s="156"/>
    </row>
    <row r="61">
      <c r="A61" s="151"/>
      <c r="C61" s="152" t="s">
        <v>249</v>
      </c>
      <c r="D61" s="152" t="s">
        <v>4</v>
      </c>
      <c r="F61" s="153" t="n">
        <v>60</v>
      </c>
      <c r="K61" s="154"/>
    </row>
    <row r="62">
      <c r="A62" s="9" t="s">
        <v>250</v>
      </c>
      <c r="B62" s="10" t="s">
        <v>251</v>
      </c>
      <c r="C62" s="14" t="s">
        <v>252</v>
      </c>
      <c r="D62" s="10"/>
      <c r="E62" s="10" t="s">
        <v>158</v>
      </c>
      <c r="F62" s="116" t="n">
        <v>60</v>
      </c>
      <c r="G62" s="116" t="n">
        <v>0</v>
      </c>
      <c r="H62" s="116">
        <f>F62*AO62</f>
      </c>
      <c r="I62" s="116">
        <f>F62*AP62</f>
      </c>
      <c r="J62" s="116">
        <f>F62*G62</f>
      </c>
      <c r="K62" s="149" t="s">
        <v>159</v>
      </c>
      <c r="Z62" s="116">
        <f>IF(AQ62="5",BJ62,0)</f>
      </c>
      <c r="AB62" s="116">
        <f>IF(AQ62="1",BH62,0)</f>
      </c>
      <c r="AC62" s="116">
        <f>IF(AQ62="1",BI62,0)</f>
      </c>
      <c r="AD62" s="116">
        <f>IF(AQ62="7",BH62,0)</f>
      </c>
      <c r="AE62" s="116">
        <f>IF(AQ62="7",BI62,0)</f>
      </c>
      <c r="AF62" s="116">
        <f>IF(AQ62="2",BH62,0)</f>
      </c>
      <c r="AG62" s="116">
        <f>IF(AQ62="2",BI62,0)</f>
      </c>
      <c r="AH62" s="116">
        <f>IF(AQ62="0",BJ62,0)</f>
      </c>
      <c r="AI62" s="131" t="s">
        <v>87</v>
      </c>
      <c r="AJ62" s="116">
        <f>IF(AN62=0,J62,0)</f>
      </c>
      <c r="AK62" s="116">
        <f>IF(AN62=12,J62,0)</f>
      </c>
      <c r="AL62" s="116">
        <f>IF(AN62=21,J62,0)</f>
      </c>
      <c r="AN62" s="116" t="n">
        <v>21</v>
      </c>
      <c r="AO62" s="116">
        <f>G62*0.155807692</f>
      </c>
      <c r="AP62" s="116">
        <f>G62*(1-0.155807692)</f>
      </c>
      <c r="AQ62" s="150" t="s">
        <v>199</v>
      </c>
      <c r="AV62" s="116">
        <f>AW62+AX62</f>
      </c>
      <c r="AW62" s="116">
        <f>F62*AO62</f>
      </c>
      <c r="AX62" s="116">
        <f>F62*AP62</f>
      </c>
      <c r="AY62" s="150" t="s">
        <v>246</v>
      </c>
      <c r="AZ62" s="150" t="s">
        <v>247</v>
      </c>
      <c r="BA62" s="131" t="s">
        <v>162</v>
      </c>
      <c r="BC62" s="116">
        <f>AW62+AX62</f>
      </c>
      <c r="BD62" s="116">
        <f>G62/(100-BE62)*100</f>
      </c>
      <c r="BE62" s="116" t="n">
        <v>0</v>
      </c>
      <c r="BF62" s="116">
        <f>62</f>
      </c>
      <c r="BH62" s="116">
        <f>F62*AO62</f>
      </c>
      <c r="BI62" s="116">
        <f>F62*AP62</f>
      </c>
      <c r="BJ62" s="116">
        <f>F62*G62</f>
      </c>
      <c r="BK62" s="116"/>
      <c r="BL62" s="116" t="n">
        <v>783</v>
      </c>
      <c r="BW62" s="116" t="n">
        <v>21</v>
      </c>
      <c r="BX62" s="14" t="s">
        <v>252</v>
      </c>
    </row>
    <row r="63" customHeight="true" ht="27">
      <c r="A63" s="151"/>
      <c r="C63" s="155" t="s">
        <v>253</v>
      </c>
      <c r="D63" s="152"/>
      <c r="E63" s="152"/>
      <c r="F63" s="152"/>
      <c r="G63" s="152"/>
      <c r="H63" s="152"/>
      <c r="I63" s="152"/>
      <c r="J63" s="152"/>
      <c r="K63" s="156"/>
    </row>
    <row r="64">
      <c r="A64" s="151"/>
      <c r="C64" s="152" t="s">
        <v>249</v>
      </c>
      <c r="D64" s="152" t="s">
        <v>4</v>
      </c>
      <c r="F64" s="153" t="n">
        <v>60</v>
      </c>
      <c r="K64" s="154"/>
    </row>
    <row r="65">
      <c r="A65" s="144" t="s">
        <v>4</v>
      </c>
      <c r="B65" s="145" t="s">
        <v>254</v>
      </c>
      <c r="C65" s="146" t="s">
        <v>255</v>
      </c>
      <c r="D65" s="145"/>
      <c r="E65" s="147" t="s">
        <v>79</v>
      </c>
      <c r="F65" s="147" t="s">
        <v>79</v>
      </c>
      <c r="G65" s="147" t="s">
        <v>79</v>
      </c>
      <c r="H65" s="123">
        <f>SUM(H66:H68)</f>
      </c>
      <c r="I65" s="123">
        <f>SUM(I66:I68)</f>
      </c>
      <c r="J65" s="123">
        <f>SUM(J66:J68)</f>
      </c>
      <c r="K65" s="148" t="s">
        <v>4</v>
      </c>
      <c r="AI65" s="131" t="s">
        <v>87</v>
      </c>
      <c r="AS65" s="123">
        <f>SUM(AJ66:AJ68)</f>
      </c>
      <c r="AT65" s="123">
        <f>SUM(AK66:AK68)</f>
      </c>
      <c r="AU65" s="123">
        <f>SUM(AL66:AL68)</f>
      </c>
    </row>
    <row r="66">
      <c r="A66" s="9" t="s">
        <v>256</v>
      </c>
      <c r="B66" s="10" t="s">
        <v>257</v>
      </c>
      <c r="C66" s="14" t="s">
        <v>258</v>
      </c>
      <c r="D66" s="10"/>
      <c r="E66" s="10" t="s">
        <v>259</v>
      </c>
      <c r="F66" s="116" t="n">
        <v>2.1229</v>
      </c>
      <c r="G66" s="116" t="n">
        <v>0</v>
      </c>
      <c r="H66" s="116">
        <f>F66*AO66</f>
      </c>
      <c r="I66" s="116">
        <f>F66*AP66</f>
      </c>
      <c r="J66" s="116">
        <f>F66*G66</f>
      </c>
      <c r="K66" s="149" t="s">
        <v>159</v>
      </c>
      <c r="Z66" s="116">
        <f>IF(AQ66="5",BJ66,0)</f>
      </c>
      <c r="AB66" s="116">
        <f>IF(AQ66="1",BH66,0)</f>
      </c>
      <c r="AC66" s="116">
        <f>IF(AQ66="1",BI66,0)</f>
      </c>
      <c r="AD66" s="116">
        <f>IF(AQ66="7",BH66,0)</f>
      </c>
      <c r="AE66" s="116">
        <f>IF(AQ66="7",BI66,0)</f>
      </c>
      <c r="AF66" s="116">
        <f>IF(AQ66="2",BH66,0)</f>
      </c>
      <c r="AG66" s="116">
        <f>IF(AQ66="2",BI66,0)</f>
      </c>
      <c r="AH66" s="116">
        <f>IF(AQ66="0",BJ66,0)</f>
      </c>
      <c r="AI66" s="131" t="s">
        <v>87</v>
      </c>
      <c r="AJ66" s="116">
        <f>IF(AN66=0,J66,0)</f>
      </c>
      <c r="AK66" s="116">
        <f>IF(AN66=12,J66,0)</f>
      </c>
      <c r="AL66" s="116">
        <f>IF(AN66=21,J66,0)</f>
      </c>
      <c r="AN66" s="116" t="n">
        <v>21</v>
      </c>
      <c r="AO66" s="116">
        <f>G66*0</f>
      </c>
      <c r="AP66" s="116">
        <f>G66*(1-0)</f>
      </c>
      <c r="AQ66" s="150" t="s">
        <v>93</v>
      </c>
      <c r="AV66" s="116">
        <f>AW66+AX66</f>
      </c>
      <c r="AW66" s="116">
        <f>F66*AO66</f>
      </c>
      <c r="AX66" s="116">
        <f>F66*AP66</f>
      </c>
      <c r="AY66" s="150" t="s">
        <v>260</v>
      </c>
      <c r="AZ66" s="150" t="s">
        <v>261</v>
      </c>
      <c r="BA66" s="131" t="s">
        <v>162</v>
      </c>
      <c r="BC66" s="116">
        <f>AW66+AX66</f>
      </c>
      <c r="BD66" s="116">
        <f>G66/(100-BE66)*100</f>
      </c>
      <c r="BE66" s="116" t="n">
        <v>0</v>
      </c>
      <c r="BF66" s="116">
        <f>66</f>
      </c>
      <c r="BH66" s="116">
        <f>F66*AO66</f>
      </c>
      <c r="BI66" s="116">
        <f>F66*AP66</f>
      </c>
      <c r="BJ66" s="116">
        <f>F66*G66</f>
      </c>
      <c r="BK66" s="116"/>
      <c r="BL66" s="116"/>
      <c r="BW66" s="116" t="n">
        <v>21</v>
      </c>
      <c r="BX66" s="14" t="s">
        <v>258</v>
      </c>
    </row>
    <row r="67">
      <c r="A67" s="151"/>
      <c r="C67" s="152" t="s">
        <v>262</v>
      </c>
      <c r="D67" s="152" t="s">
        <v>4</v>
      </c>
      <c r="F67" s="153" t="n">
        <v>2.1229</v>
      </c>
      <c r="K67" s="154"/>
    </row>
    <row r="68">
      <c r="A68" s="9" t="s">
        <v>263</v>
      </c>
      <c r="B68" s="10" t="s">
        <v>264</v>
      </c>
      <c r="C68" s="14" t="s">
        <v>265</v>
      </c>
      <c r="D68" s="10"/>
      <c r="E68" s="10" t="s">
        <v>259</v>
      </c>
      <c r="F68" s="116" t="n">
        <v>22</v>
      </c>
      <c r="G68" s="116" t="n">
        <v>0</v>
      </c>
      <c r="H68" s="116">
        <f>F68*AO68</f>
      </c>
      <c r="I68" s="116">
        <f>F68*AP68</f>
      </c>
      <c r="J68" s="116">
        <f>F68*G68</f>
      </c>
      <c r="K68" s="149" t="s">
        <v>202</v>
      </c>
      <c r="Z68" s="116">
        <f>IF(AQ68="5",BJ68,0)</f>
      </c>
      <c r="AB68" s="116">
        <f>IF(AQ68="1",BH68,0)</f>
      </c>
      <c r="AC68" s="116">
        <f>IF(AQ68="1",BI68,0)</f>
      </c>
      <c r="AD68" s="116">
        <f>IF(AQ68="7",BH68,0)</f>
      </c>
      <c r="AE68" s="116">
        <f>IF(AQ68="7",BI68,0)</f>
      </c>
      <c r="AF68" s="116">
        <f>IF(AQ68="2",BH68,0)</f>
      </c>
      <c r="AG68" s="116">
        <f>IF(AQ68="2",BI68,0)</f>
      </c>
      <c r="AH68" s="116">
        <f>IF(AQ68="0",BJ68,0)</f>
      </c>
      <c r="AI68" s="131" t="s">
        <v>87</v>
      </c>
      <c r="AJ68" s="116">
        <f>IF(AN68=0,J68,0)</f>
      </c>
      <c r="AK68" s="116">
        <f>IF(AN68=12,J68,0)</f>
      </c>
      <c r="AL68" s="116">
        <f>IF(AN68=21,J68,0)</f>
      </c>
      <c r="AN68" s="116" t="n">
        <v>21</v>
      </c>
      <c r="AO68" s="116">
        <f>G68*0</f>
      </c>
      <c r="AP68" s="116">
        <f>G68*(1-0)</f>
      </c>
      <c r="AQ68" s="150" t="s">
        <v>93</v>
      </c>
      <c r="AV68" s="116">
        <f>AW68+AX68</f>
      </c>
      <c r="AW68" s="116">
        <f>F68*AO68</f>
      </c>
      <c r="AX68" s="116">
        <f>F68*AP68</f>
      </c>
      <c r="AY68" s="150" t="s">
        <v>260</v>
      </c>
      <c r="AZ68" s="150" t="s">
        <v>261</v>
      </c>
      <c r="BA68" s="131" t="s">
        <v>162</v>
      </c>
      <c r="BC68" s="116">
        <f>AW68+AX68</f>
      </c>
      <c r="BD68" s="116">
        <f>G68/(100-BE68)*100</f>
      </c>
      <c r="BE68" s="116" t="n">
        <v>0</v>
      </c>
      <c r="BF68" s="116">
        <f>68</f>
      </c>
      <c r="BH68" s="116">
        <f>F68*AO68</f>
      </c>
      <c r="BI68" s="116">
        <f>F68*AP68</f>
      </c>
      <c r="BJ68" s="116">
        <f>F68*G68</f>
      </c>
      <c r="BK68" s="116"/>
      <c r="BL68" s="116"/>
      <c r="BW68" s="116" t="n">
        <v>21</v>
      </c>
      <c r="BX68" s="14" t="s">
        <v>265</v>
      </c>
    </row>
    <row r="69">
      <c r="A69" s="151"/>
      <c r="C69" s="152" t="s">
        <v>266</v>
      </c>
      <c r="D69" s="152" t="s">
        <v>4</v>
      </c>
      <c r="F69" s="153" t="n">
        <v>22</v>
      </c>
      <c r="K69" s="154"/>
    </row>
    <row r="70">
      <c r="A70" s="151"/>
      <c r="B70" s="157" t="s">
        <v>177</v>
      </c>
      <c r="C70" s="155" t="s">
        <v>79</v>
      </c>
      <c r="D70" s="152"/>
      <c r="E70" s="152"/>
      <c r="F70" s="152"/>
      <c r="G70" s="152"/>
      <c r="H70" s="152"/>
      <c r="I70" s="152"/>
      <c r="J70" s="152"/>
      <c r="K70" s="156"/>
      <c r="BX70" s="155" t="s">
        <v>79</v>
      </c>
    </row>
    <row r="71">
      <c r="A71" s="144" t="s">
        <v>4</v>
      </c>
      <c r="B71" s="145" t="s">
        <v>267</v>
      </c>
      <c r="C71" s="146" t="s">
        <v>57</v>
      </c>
      <c r="D71" s="145"/>
      <c r="E71" s="147" t="s">
        <v>79</v>
      </c>
      <c r="F71" s="147" t="s">
        <v>79</v>
      </c>
      <c r="G71" s="147" t="s">
        <v>79</v>
      </c>
      <c r="H71" s="123">
        <f>H72+H79</f>
      </c>
      <c r="I71" s="123">
        <f>I72+I79</f>
      </c>
      <c r="J71" s="123">
        <f>J72+J79</f>
      </c>
      <c r="K71" s="148" t="s">
        <v>4</v>
      </c>
      <c r="AI71" s="131" t="s">
        <v>87</v>
      </c>
    </row>
    <row r="72">
      <c r="A72" s="144" t="s">
        <v>4</v>
      </c>
      <c r="B72" s="145" t="s">
        <v>268</v>
      </c>
      <c r="C72" s="146" t="s">
        <v>68</v>
      </c>
      <c r="D72" s="145"/>
      <c r="E72" s="147" t="s">
        <v>79</v>
      </c>
      <c r="F72" s="147" t="s">
        <v>79</v>
      </c>
      <c r="G72" s="147" t="s">
        <v>79</v>
      </c>
      <c r="H72" s="123">
        <f>SUM(H73:H76)</f>
      </c>
      <c r="I72" s="123">
        <f>SUM(I73:I76)</f>
      </c>
      <c r="J72" s="123">
        <f>SUM(J73:J76)</f>
      </c>
      <c r="K72" s="148" t="s">
        <v>4</v>
      </c>
      <c r="AI72" s="131" t="s">
        <v>87</v>
      </c>
      <c r="AS72" s="123">
        <f>SUM(AJ73:AJ76)</f>
      </c>
      <c r="AT72" s="123">
        <f>SUM(AK73:AK76)</f>
      </c>
      <c r="AU72" s="123">
        <f>SUM(AL73:AL76)</f>
      </c>
    </row>
    <row r="73">
      <c r="A73" s="9" t="s">
        <v>269</v>
      </c>
      <c r="B73" s="10" t="s">
        <v>270</v>
      </c>
      <c r="C73" s="14" t="s">
        <v>271</v>
      </c>
      <c r="D73" s="10"/>
      <c r="E73" s="10" t="s">
        <v>272</v>
      </c>
      <c r="F73" s="116" t="n">
        <v>9</v>
      </c>
      <c r="G73" s="116" t="n">
        <v>0</v>
      </c>
      <c r="H73" s="116">
        <f>F73*AO73</f>
      </c>
      <c r="I73" s="116">
        <f>F73*AP73</f>
      </c>
      <c r="J73" s="116">
        <f>F73*G73</f>
      </c>
      <c r="K73" s="149" t="s">
        <v>4</v>
      </c>
      <c r="Z73" s="116">
        <f>IF(AQ73="5",BJ73,0)</f>
      </c>
      <c r="AB73" s="116">
        <f>IF(AQ73="1",BH73,0)</f>
      </c>
      <c r="AC73" s="116">
        <f>IF(AQ73="1",BI73,0)</f>
      </c>
      <c r="AD73" s="116">
        <f>IF(AQ73="7",BH73,0)</f>
      </c>
      <c r="AE73" s="116">
        <f>IF(AQ73="7",BI73,0)</f>
      </c>
      <c r="AF73" s="116">
        <f>IF(AQ73="2",BH73,0)</f>
      </c>
      <c r="AG73" s="116">
        <f>IF(AQ73="2",BI73,0)</f>
      </c>
      <c r="AH73" s="116">
        <f>IF(AQ73="0",BJ73,0)</f>
      </c>
      <c r="AI73" s="131" t="s">
        <v>87</v>
      </c>
      <c r="AJ73" s="116">
        <f>IF(AN73=0,J73,0)</f>
      </c>
      <c r="AK73" s="116">
        <f>IF(AN73=12,J73,0)</f>
      </c>
      <c r="AL73" s="116">
        <f>IF(AN73=21,J73,0)</f>
      </c>
      <c r="AN73" s="116" t="n">
        <v>21</v>
      </c>
      <c r="AO73" s="116">
        <f>G73*0</f>
      </c>
      <c r="AP73" s="116">
        <f>G73*(1-0)</f>
      </c>
      <c r="AQ73" s="150" t="s">
        <v>273</v>
      </c>
      <c r="AV73" s="116">
        <f>AW73+AX73</f>
      </c>
      <c r="AW73" s="116">
        <f>F73*AO73</f>
      </c>
      <c r="AX73" s="116">
        <f>F73*AP73</f>
      </c>
      <c r="AY73" s="150" t="s">
        <v>274</v>
      </c>
      <c r="AZ73" s="150" t="s">
        <v>275</v>
      </c>
      <c r="BA73" s="131" t="s">
        <v>162</v>
      </c>
      <c r="BC73" s="116">
        <f>AW73+AX73</f>
      </c>
      <c r="BD73" s="116">
        <f>G73/(100-BE73)*100</f>
      </c>
      <c r="BE73" s="116" t="n">
        <v>0</v>
      </c>
      <c r="BF73" s="116">
        <f>73</f>
      </c>
      <c r="BH73" s="116">
        <f>F73*AO73</f>
      </c>
      <c r="BI73" s="116">
        <f>F73*AP73</f>
      </c>
      <c r="BJ73" s="116">
        <f>F73*G73</f>
      </c>
      <c r="BK73" s="116"/>
      <c r="BL73" s="116"/>
      <c r="BM73" s="116">
        <f>F73*G73</f>
      </c>
      <c r="BW73" s="116" t="n">
        <v>21</v>
      </c>
      <c r="BX73" s="14" t="s">
        <v>271</v>
      </c>
    </row>
    <row r="74" customHeight="true" ht="13.5">
      <c r="A74" s="151"/>
      <c r="C74" s="155" t="s">
        <v>276</v>
      </c>
      <c r="D74" s="152"/>
      <c r="E74" s="152"/>
      <c r="F74" s="152"/>
      <c r="G74" s="152"/>
      <c r="H74" s="152"/>
      <c r="I74" s="152"/>
      <c r="J74" s="152"/>
      <c r="K74" s="156"/>
    </row>
    <row r="75">
      <c r="A75" s="151"/>
      <c r="C75" s="152" t="s">
        <v>99</v>
      </c>
      <c r="D75" s="152" t="s">
        <v>4</v>
      </c>
      <c r="F75" s="153" t="n">
        <v>9</v>
      </c>
      <c r="K75" s="154"/>
    </row>
    <row r="76">
      <c r="A76" s="9" t="s">
        <v>179</v>
      </c>
      <c r="B76" s="10" t="s">
        <v>277</v>
      </c>
      <c r="C76" s="14" t="s">
        <v>278</v>
      </c>
      <c r="D76" s="10"/>
      <c r="E76" s="10" t="s">
        <v>272</v>
      </c>
      <c r="F76" s="116" t="n">
        <v>1</v>
      </c>
      <c r="G76" s="116" t="n">
        <v>0</v>
      </c>
      <c r="H76" s="116">
        <f>F76*AO76</f>
      </c>
      <c r="I76" s="116">
        <f>F76*AP76</f>
      </c>
      <c r="J76" s="116">
        <f>F76*G76</f>
      </c>
      <c r="K76" s="149" t="s">
        <v>159</v>
      </c>
      <c r="Z76" s="116">
        <f>IF(AQ76="5",BJ76,0)</f>
      </c>
      <c r="AB76" s="116">
        <f>IF(AQ76="1",BH76,0)</f>
      </c>
      <c r="AC76" s="116">
        <f>IF(AQ76="1",BI76,0)</f>
      </c>
      <c r="AD76" s="116">
        <f>IF(AQ76="7",BH76,0)</f>
      </c>
      <c r="AE76" s="116">
        <f>IF(AQ76="7",BI76,0)</f>
      </c>
      <c r="AF76" s="116">
        <f>IF(AQ76="2",BH76,0)</f>
      </c>
      <c r="AG76" s="116">
        <f>IF(AQ76="2",BI76,0)</f>
      </c>
      <c r="AH76" s="116">
        <f>IF(AQ76="0",BJ76,0)</f>
      </c>
      <c r="AI76" s="131" t="s">
        <v>87</v>
      </c>
      <c r="AJ76" s="116">
        <f>IF(AN76=0,J76,0)</f>
      </c>
      <c r="AK76" s="116">
        <f>IF(AN76=12,J76,0)</f>
      </c>
      <c r="AL76" s="116">
        <f>IF(AN76=21,J76,0)</f>
      </c>
      <c r="AN76" s="116" t="n">
        <v>21</v>
      </c>
      <c r="AO76" s="116">
        <f>G76*0</f>
      </c>
      <c r="AP76" s="116">
        <f>G76*(1-0)</f>
      </c>
      <c r="AQ76" s="150" t="s">
        <v>273</v>
      </c>
      <c r="AV76" s="116">
        <f>AW76+AX76</f>
      </c>
      <c r="AW76" s="116">
        <f>F76*AO76</f>
      </c>
      <c r="AX76" s="116">
        <f>F76*AP76</f>
      </c>
      <c r="AY76" s="150" t="s">
        <v>274</v>
      </c>
      <c r="AZ76" s="150" t="s">
        <v>275</v>
      </c>
      <c r="BA76" s="131" t="s">
        <v>162</v>
      </c>
      <c r="BC76" s="116">
        <f>AW76+AX76</f>
      </c>
      <c r="BD76" s="116">
        <f>G76/(100-BE76)*100</f>
      </c>
      <c r="BE76" s="116" t="n">
        <v>0</v>
      </c>
      <c r="BF76" s="116">
        <f>76</f>
      </c>
      <c r="BH76" s="116">
        <f>F76*AO76</f>
      </c>
      <c r="BI76" s="116">
        <f>F76*AP76</f>
      </c>
      <c r="BJ76" s="116">
        <f>F76*G76</f>
      </c>
      <c r="BK76" s="116"/>
      <c r="BL76" s="116"/>
      <c r="BM76" s="116">
        <f>F76*G76</f>
      </c>
      <c r="BW76" s="116" t="n">
        <v>21</v>
      </c>
      <c r="BX76" s="14" t="s">
        <v>278</v>
      </c>
    </row>
    <row r="77">
      <c r="A77" s="151"/>
      <c r="C77" s="152" t="s">
        <v>88</v>
      </c>
      <c r="D77" s="152" t="s">
        <v>4</v>
      </c>
      <c r="F77" s="153" t="n">
        <v>1</v>
      </c>
      <c r="K77" s="154"/>
    </row>
    <row r="78" customHeight="true" ht="54">
      <c r="A78" s="151"/>
      <c r="B78" s="157" t="s">
        <v>56</v>
      </c>
      <c r="C78" s="155" t="s">
        <v>279</v>
      </c>
      <c r="D78" s="152"/>
      <c r="E78" s="152"/>
      <c r="F78" s="152"/>
      <c r="G78" s="152"/>
      <c r="H78" s="152"/>
      <c r="I78" s="152"/>
      <c r="J78" s="152"/>
      <c r="K78" s="156"/>
    </row>
    <row r="79">
      <c r="A79" s="144" t="s">
        <v>4</v>
      </c>
      <c r="B79" s="145" t="s">
        <v>280</v>
      </c>
      <c r="C79" s="146" t="s">
        <v>25</v>
      </c>
      <c r="D79" s="145"/>
      <c r="E79" s="147" t="s">
        <v>79</v>
      </c>
      <c r="F79" s="147" t="s">
        <v>79</v>
      </c>
      <c r="G79" s="147" t="s">
        <v>79</v>
      </c>
      <c r="H79" s="123">
        <f>SUM(H80:H80)</f>
      </c>
      <c r="I79" s="123">
        <f>SUM(I80:I80)</f>
      </c>
      <c r="J79" s="123">
        <f>SUM(J80:J80)</f>
      </c>
      <c r="K79" s="148" t="s">
        <v>4</v>
      </c>
      <c r="AI79" s="131" t="s">
        <v>87</v>
      </c>
      <c r="AS79" s="123">
        <f>SUM(AJ80:AJ80)</f>
      </c>
      <c r="AT79" s="123">
        <f>SUM(AK80:AK80)</f>
      </c>
      <c r="AU79" s="123">
        <f>SUM(AL80:AL80)</f>
      </c>
    </row>
    <row r="80">
      <c r="A80" s="9" t="s">
        <v>281</v>
      </c>
      <c r="B80" s="10" t="s">
        <v>282</v>
      </c>
      <c r="C80" s="14" t="s">
        <v>25</v>
      </c>
      <c r="D80" s="10"/>
      <c r="E80" s="10" t="s">
        <v>272</v>
      </c>
      <c r="F80" s="116" t="n">
        <v>1</v>
      </c>
      <c r="G80" s="116" t="n">
        <v>0</v>
      </c>
      <c r="H80" s="116">
        <f>F80*AO80</f>
      </c>
      <c r="I80" s="116">
        <f>F80*AP80</f>
      </c>
      <c r="J80" s="116">
        <f>F80*G80</f>
      </c>
      <c r="K80" s="149" t="s">
        <v>159</v>
      </c>
      <c r="Z80" s="116">
        <f>IF(AQ80="5",BJ80,0)</f>
      </c>
      <c r="AB80" s="116">
        <f>IF(AQ80="1",BH80,0)</f>
      </c>
      <c r="AC80" s="116">
        <f>IF(AQ80="1",BI80,0)</f>
      </c>
      <c r="AD80" s="116">
        <f>IF(AQ80="7",BH80,0)</f>
      </c>
      <c r="AE80" s="116">
        <f>IF(AQ80="7",BI80,0)</f>
      </c>
      <c r="AF80" s="116">
        <f>IF(AQ80="2",BH80,0)</f>
      </c>
      <c r="AG80" s="116">
        <f>IF(AQ80="2",BI80,0)</f>
      </c>
      <c r="AH80" s="116">
        <f>IF(AQ80="0",BJ80,0)</f>
      </c>
      <c r="AI80" s="131" t="s">
        <v>87</v>
      </c>
      <c r="AJ80" s="116">
        <f>IF(AN80=0,J80,0)</f>
      </c>
      <c r="AK80" s="116">
        <f>IF(AN80=12,J80,0)</f>
      </c>
      <c r="AL80" s="116">
        <f>IF(AN80=21,J80,0)</f>
      </c>
      <c r="AN80" s="116" t="n">
        <v>21</v>
      </c>
      <c r="AO80" s="116">
        <f>G80*0</f>
      </c>
      <c r="AP80" s="116">
        <f>G80*(1-0)</f>
      </c>
      <c r="AQ80" s="150" t="s">
        <v>273</v>
      </c>
      <c r="AV80" s="116">
        <f>AW80+AX80</f>
      </c>
      <c r="AW80" s="116">
        <f>F80*AO80</f>
      </c>
      <c r="AX80" s="116">
        <f>F80*AP80</f>
      </c>
      <c r="AY80" s="150" t="s">
        <v>283</v>
      </c>
      <c r="AZ80" s="150" t="s">
        <v>275</v>
      </c>
      <c r="BA80" s="131" t="s">
        <v>162</v>
      </c>
      <c r="BC80" s="116">
        <f>AW80+AX80</f>
      </c>
      <c r="BD80" s="116">
        <f>G80/(100-BE80)*100</f>
      </c>
      <c r="BE80" s="116" t="n">
        <v>0</v>
      </c>
      <c r="BF80" s="116">
        <f>80</f>
      </c>
      <c r="BH80" s="116">
        <f>F80*AO80</f>
      </c>
      <c r="BI80" s="116">
        <f>F80*AP80</f>
      </c>
      <c r="BJ80" s="116">
        <f>F80*G80</f>
      </c>
      <c r="BK80" s="116"/>
      <c r="BL80" s="116"/>
      <c r="BO80" s="116">
        <f>F80*G80</f>
      </c>
      <c r="BW80" s="116" t="n">
        <v>21</v>
      </c>
      <c r="BX80" s="14" t="s">
        <v>25</v>
      </c>
    </row>
    <row r="81" customHeight="true" ht="13.5">
      <c r="A81" s="151"/>
      <c r="C81" s="155" t="s">
        <v>284</v>
      </c>
      <c r="D81" s="152"/>
      <c r="E81" s="152"/>
      <c r="F81" s="152"/>
      <c r="G81" s="152"/>
      <c r="H81" s="152"/>
      <c r="I81" s="152"/>
      <c r="J81" s="152"/>
      <c r="K81" s="156"/>
    </row>
    <row r="82">
      <c r="A82" s="151"/>
      <c r="C82" s="152" t="s">
        <v>88</v>
      </c>
      <c r="D82" s="152" t="s">
        <v>4</v>
      </c>
      <c r="F82" s="153" t="n">
        <v>1</v>
      </c>
      <c r="K82" s="154"/>
    </row>
    <row r="83">
      <c r="A83" s="144" t="s">
        <v>4</v>
      </c>
      <c r="B83" s="145" t="s">
        <v>4</v>
      </c>
      <c r="C83" s="146" t="s">
        <v>102</v>
      </c>
      <c r="D83" s="145"/>
      <c r="E83" s="147" t="s">
        <v>79</v>
      </c>
      <c r="F83" s="147" t="s">
        <v>79</v>
      </c>
      <c r="G83" s="147" t="s">
        <v>79</v>
      </c>
      <c r="H83" s="123">
        <f>H84+H93+H97+H115+H151+H162+H180+H183+H186+H192+H196+H201+H213+H231+H234+H248+H264+H306+H310+H314+H317+H321+H382</f>
      </c>
      <c r="I83" s="123">
        <f>I84+I93+I97+I115+I151+I162+I180+I183+I186+I192+I196+I201+I213+I231+I234+I248+I264+I306+I310+I314+I317+I321+I382</f>
      </c>
      <c r="J83" s="123">
        <f>J84+J93+J97+J115+J151+J162+J180+J183+J186+J192+J196+J201+J213+J231+J234+J248+J264+J306+J310+J314+J317+J321+J382</f>
      </c>
      <c r="K83" s="148" t="s">
        <v>4</v>
      </c>
    </row>
    <row r="84">
      <c r="A84" s="144" t="s">
        <v>4</v>
      </c>
      <c r="B84" s="145" t="s">
        <v>154</v>
      </c>
      <c r="C84" s="146" t="s">
        <v>155</v>
      </c>
      <c r="D84" s="145"/>
      <c r="E84" s="147" t="s">
        <v>79</v>
      </c>
      <c r="F84" s="147" t="s">
        <v>79</v>
      </c>
      <c r="G84" s="147" t="s">
        <v>79</v>
      </c>
      <c r="H84" s="123">
        <f>SUM(H85:H89)</f>
      </c>
      <c r="I84" s="123">
        <f>SUM(I85:I89)</f>
      </c>
      <c r="J84" s="123">
        <f>SUM(J85:J89)</f>
      </c>
      <c r="K84" s="148" t="s">
        <v>4</v>
      </c>
      <c r="AI84" s="131" t="s">
        <v>103</v>
      </c>
      <c r="AS84" s="123">
        <f>SUM(AJ85:AJ89)</f>
      </c>
      <c r="AT84" s="123">
        <f>SUM(AK85:AK89)</f>
      </c>
      <c r="AU84" s="123">
        <f>SUM(AL85:AL89)</f>
      </c>
    </row>
    <row r="85">
      <c r="A85" s="9" t="s">
        <v>285</v>
      </c>
      <c r="B85" s="10" t="s">
        <v>164</v>
      </c>
      <c r="C85" s="14" t="s">
        <v>286</v>
      </c>
      <c r="D85" s="10"/>
      <c r="E85" s="10" t="s">
        <v>166</v>
      </c>
      <c r="F85" s="116" t="n">
        <v>1680</v>
      </c>
      <c r="G85" s="116" t="n">
        <v>0</v>
      </c>
      <c r="H85" s="116">
        <f>F85*AO85</f>
      </c>
      <c r="I85" s="116">
        <f>F85*AP85</f>
      </c>
      <c r="J85" s="116">
        <f>F85*G85</f>
      </c>
      <c r="K85" s="149" t="s">
        <v>159</v>
      </c>
      <c r="Z85" s="116">
        <f>IF(AQ85="5",BJ85,0)</f>
      </c>
      <c r="AB85" s="116">
        <f>IF(AQ85="1",BH85,0)</f>
      </c>
      <c r="AC85" s="116">
        <f>IF(AQ85="1",BI85,0)</f>
      </c>
      <c r="AD85" s="116">
        <f>IF(AQ85="7",BH85,0)</f>
      </c>
      <c r="AE85" s="116">
        <f>IF(AQ85="7",BI85,0)</f>
      </c>
      <c r="AF85" s="116">
        <f>IF(AQ85="2",BH85,0)</f>
      </c>
      <c r="AG85" s="116">
        <f>IF(AQ85="2",BI85,0)</f>
      </c>
      <c r="AH85" s="116">
        <f>IF(AQ85="0",BJ85,0)</f>
      </c>
      <c r="AI85" s="131" t="s">
        <v>103</v>
      </c>
      <c r="AJ85" s="116">
        <f>IF(AN85=0,J85,0)</f>
      </c>
      <c r="AK85" s="116">
        <f>IF(AN85=12,J85,0)</f>
      </c>
      <c r="AL85" s="116">
        <f>IF(AN85=21,J85,0)</f>
      </c>
      <c r="AN85" s="116" t="n">
        <v>21</v>
      </c>
      <c r="AO85" s="116">
        <f>G85*0</f>
      </c>
      <c r="AP85" s="116">
        <f>G85*(1-0)</f>
      </c>
      <c r="AQ85" s="150" t="s">
        <v>88</v>
      </c>
      <c r="AV85" s="116">
        <f>AW85+AX85</f>
      </c>
      <c r="AW85" s="116">
        <f>F85*AO85</f>
      </c>
      <c r="AX85" s="116">
        <f>F85*AP85</f>
      </c>
      <c r="AY85" s="150" t="s">
        <v>160</v>
      </c>
      <c r="AZ85" s="150" t="s">
        <v>287</v>
      </c>
      <c r="BA85" s="131" t="s">
        <v>288</v>
      </c>
      <c r="BC85" s="116">
        <f>AW85+AX85</f>
      </c>
      <c r="BD85" s="116">
        <f>G85/(100-BE85)*100</f>
      </c>
      <c r="BE85" s="116" t="n">
        <v>0</v>
      </c>
      <c r="BF85" s="116">
        <f>85</f>
      </c>
      <c r="BH85" s="116">
        <f>F85*AO85</f>
      </c>
      <c r="BI85" s="116">
        <f>F85*AP85</f>
      </c>
      <c r="BJ85" s="116">
        <f>F85*G85</f>
      </c>
      <c r="BK85" s="116"/>
      <c r="BL85" s="116" t="n">
        <v>11</v>
      </c>
      <c r="BW85" s="116" t="n">
        <v>21</v>
      </c>
      <c r="BX85" s="14" t="s">
        <v>286</v>
      </c>
    </row>
    <row r="86" customHeight="true" ht="13.5">
      <c r="A86" s="151"/>
      <c r="C86" s="155" t="s">
        <v>167</v>
      </c>
      <c r="D86" s="152"/>
      <c r="E86" s="152"/>
      <c r="F86" s="152"/>
      <c r="G86" s="152"/>
      <c r="H86" s="152"/>
      <c r="I86" s="152"/>
      <c r="J86" s="152"/>
      <c r="K86" s="156"/>
    </row>
    <row r="87">
      <c r="A87" s="151"/>
      <c r="C87" s="152" t="s">
        <v>289</v>
      </c>
      <c r="D87" s="152" t="s">
        <v>290</v>
      </c>
      <c r="F87" s="153" t="n">
        <v>1008</v>
      </c>
      <c r="K87" s="154"/>
    </row>
    <row r="88">
      <c r="A88" s="151"/>
      <c r="C88" s="152" t="s">
        <v>291</v>
      </c>
      <c r="D88" s="152" t="s">
        <v>292</v>
      </c>
      <c r="F88" s="153" t="n">
        <v>672</v>
      </c>
      <c r="K88" s="154"/>
    </row>
    <row r="89">
      <c r="A89" s="9" t="s">
        <v>293</v>
      </c>
      <c r="B89" s="10" t="s">
        <v>294</v>
      </c>
      <c r="C89" s="14" t="s">
        <v>295</v>
      </c>
      <c r="D89" s="10"/>
      <c r="E89" s="10" t="s">
        <v>216</v>
      </c>
      <c r="F89" s="116" t="n">
        <v>7</v>
      </c>
      <c r="G89" s="116" t="n">
        <v>0</v>
      </c>
      <c r="H89" s="116">
        <f>F89*AO89</f>
      </c>
      <c r="I89" s="116">
        <f>F89*AP89</f>
      </c>
      <c r="J89" s="116">
        <f>F89*G89</f>
      </c>
      <c r="K89" s="149" t="s">
        <v>159</v>
      </c>
      <c r="Z89" s="116">
        <f>IF(AQ89="5",BJ89,0)</f>
      </c>
      <c r="AB89" s="116">
        <f>IF(AQ89="1",BH89,0)</f>
      </c>
      <c r="AC89" s="116">
        <f>IF(AQ89="1",BI89,0)</f>
      </c>
      <c r="AD89" s="116">
        <f>IF(AQ89="7",BH89,0)</f>
      </c>
      <c r="AE89" s="116">
        <f>IF(AQ89="7",BI89,0)</f>
      </c>
      <c r="AF89" s="116">
        <f>IF(AQ89="2",BH89,0)</f>
      </c>
      <c r="AG89" s="116">
        <f>IF(AQ89="2",BI89,0)</f>
      </c>
      <c r="AH89" s="116">
        <f>IF(AQ89="0",BJ89,0)</f>
      </c>
      <c r="AI89" s="131" t="s">
        <v>103</v>
      </c>
      <c r="AJ89" s="116">
        <f>IF(AN89=0,J89,0)</f>
      </c>
      <c r="AK89" s="116">
        <f>IF(AN89=12,J89,0)</f>
      </c>
      <c r="AL89" s="116">
        <f>IF(AN89=21,J89,0)</f>
      </c>
      <c r="AN89" s="116" t="n">
        <v>21</v>
      </c>
      <c r="AO89" s="116">
        <f>G89*0.270554622</f>
      </c>
      <c r="AP89" s="116">
        <f>G89*(1-0.270554622)</f>
      </c>
      <c r="AQ89" s="150" t="s">
        <v>88</v>
      </c>
      <c r="AV89" s="116">
        <f>AW89+AX89</f>
      </c>
      <c r="AW89" s="116">
        <f>F89*AO89</f>
      </c>
      <c r="AX89" s="116">
        <f>F89*AP89</f>
      </c>
      <c r="AY89" s="150" t="s">
        <v>160</v>
      </c>
      <c r="AZ89" s="150" t="s">
        <v>287</v>
      </c>
      <c r="BA89" s="131" t="s">
        <v>288</v>
      </c>
      <c r="BC89" s="116">
        <f>AW89+AX89</f>
      </c>
      <c r="BD89" s="116">
        <f>G89/(100-BE89)*100</f>
      </c>
      <c r="BE89" s="116" t="n">
        <v>0</v>
      </c>
      <c r="BF89" s="116">
        <f>89</f>
      </c>
      <c r="BH89" s="116">
        <f>F89*AO89</f>
      </c>
      <c r="BI89" s="116">
        <f>F89*AP89</f>
      </c>
      <c r="BJ89" s="116">
        <f>F89*G89</f>
      </c>
      <c r="BK89" s="116"/>
      <c r="BL89" s="116" t="n">
        <v>11</v>
      </c>
      <c r="BW89" s="116" t="n">
        <v>21</v>
      </c>
      <c r="BX89" s="14" t="s">
        <v>295</v>
      </c>
    </row>
    <row r="90">
      <c r="A90" s="151"/>
      <c r="C90" s="152" t="s">
        <v>93</v>
      </c>
      <c r="D90" s="152" t="s">
        <v>296</v>
      </c>
      <c r="F90" s="153" t="n">
        <v>5</v>
      </c>
      <c r="K90" s="154"/>
    </row>
    <row r="91">
      <c r="A91" s="151"/>
      <c r="C91" s="152" t="s">
        <v>104</v>
      </c>
      <c r="D91" s="152" t="s">
        <v>297</v>
      </c>
      <c r="F91" s="153" t="n">
        <v>2</v>
      </c>
      <c r="K91" s="154"/>
    </row>
    <row r="92">
      <c r="A92" s="151"/>
      <c r="B92" s="157" t="s">
        <v>177</v>
      </c>
      <c r="C92" s="155" t="s">
        <v>298</v>
      </c>
      <c r="D92" s="152"/>
      <c r="E92" s="152"/>
      <c r="F92" s="152"/>
      <c r="G92" s="152"/>
      <c r="H92" s="152"/>
      <c r="I92" s="152"/>
      <c r="J92" s="152"/>
      <c r="K92" s="156"/>
      <c r="BX92" s="155" t="s">
        <v>298</v>
      </c>
    </row>
    <row r="93">
      <c r="A93" s="144" t="s">
        <v>4</v>
      </c>
      <c r="B93" s="145" t="s">
        <v>234</v>
      </c>
      <c r="C93" s="146" t="s">
        <v>299</v>
      </c>
      <c r="D93" s="145"/>
      <c r="E93" s="147" t="s">
        <v>79</v>
      </c>
      <c r="F93" s="147" t="s">
        <v>79</v>
      </c>
      <c r="G93" s="147" t="s">
        <v>79</v>
      </c>
      <c r="H93" s="123">
        <f>SUM(H94:H94)</f>
      </c>
      <c r="I93" s="123">
        <f>SUM(I94:I94)</f>
      </c>
      <c r="J93" s="123">
        <f>SUM(J94:J94)</f>
      </c>
      <c r="K93" s="148" t="s">
        <v>4</v>
      </c>
      <c r="AI93" s="131" t="s">
        <v>103</v>
      </c>
      <c r="AS93" s="123">
        <f>SUM(AJ94:AJ94)</f>
      </c>
      <c r="AT93" s="123">
        <f>SUM(AK94:AK94)</f>
      </c>
      <c r="AU93" s="123">
        <f>SUM(AL94:AL94)</f>
      </c>
    </row>
    <row r="94">
      <c r="A94" s="9" t="s">
        <v>300</v>
      </c>
      <c r="B94" s="10" t="s">
        <v>301</v>
      </c>
      <c r="C94" s="14" t="s">
        <v>302</v>
      </c>
      <c r="D94" s="10"/>
      <c r="E94" s="10" t="s">
        <v>172</v>
      </c>
      <c r="F94" s="116" t="n">
        <v>12</v>
      </c>
      <c r="G94" s="116" t="n">
        <v>0</v>
      </c>
      <c r="H94" s="116">
        <f>F94*AO94</f>
      </c>
      <c r="I94" s="116">
        <f>F94*AP94</f>
      </c>
      <c r="J94" s="116">
        <f>F94*G94</f>
      </c>
      <c r="K94" s="149" t="s">
        <v>159</v>
      </c>
      <c r="Z94" s="116">
        <f>IF(AQ94="5",BJ94,0)</f>
      </c>
      <c r="AB94" s="116">
        <f>IF(AQ94="1",BH94,0)</f>
      </c>
      <c r="AC94" s="116">
        <f>IF(AQ94="1",BI94,0)</f>
      </c>
      <c r="AD94" s="116">
        <f>IF(AQ94="7",BH94,0)</f>
      </c>
      <c r="AE94" s="116">
        <f>IF(AQ94="7",BI94,0)</f>
      </c>
      <c r="AF94" s="116">
        <f>IF(AQ94="2",BH94,0)</f>
      </c>
      <c r="AG94" s="116">
        <f>IF(AQ94="2",BI94,0)</f>
      </c>
      <c r="AH94" s="116">
        <f>IF(AQ94="0",BJ94,0)</f>
      </c>
      <c r="AI94" s="131" t="s">
        <v>103</v>
      </c>
      <c r="AJ94" s="116">
        <f>IF(AN94=0,J94,0)</f>
      </c>
      <c r="AK94" s="116">
        <f>IF(AN94=12,J94,0)</f>
      </c>
      <c r="AL94" s="116">
        <f>IF(AN94=21,J94,0)</f>
      </c>
      <c r="AN94" s="116" t="n">
        <v>21</v>
      </c>
      <c r="AO94" s="116">
        <f>G94*0</f>
      </c>
      <c r="AP94" s="116">
        <f>G94*(1-0)</f>
      </c>
      <c r="AQ94" s="150" t="s">
        <v>88</v>
      </c>
      <c r="AV94" s="116">
        <f>AW94+AX94</f>
      </c>
      <c r="AW94" s="116">
        <f>F94*AO94</f>
      </c>
      <c r="AX94" s="116">
        <f>F94*AP94</f>
      </c>
      <c r="AY94" s="150" t="s">
        <v>303</v>
      </c>
      <c r="AZ94" s="150" t="s">
        <v>287</v>
      </c>
      <c r="BA94" s="131" t="s">
        <v>288</v>
      </c>
      <c r="BC94" s="116">
        <f>AW94+AX94</f>
      </c>
      <c r="BD94" s="116">
        <f>G94/(100-BE94)*100</f>
      </c>
      <c r="BE94" s="116" t="n">
        <v>0</v>
      </c>
      <c r="BF94" s="116">
        <f>94</f>
      </c>
      <c r="BH94" s="116">
        <f>F94*AO94</f>
      </c>
      <c r="BI94" s="116">
        <f>F94*AP94</f>
      </c>
      <c r="BJ94" s="116">
        <f>F94*G94</f>
      </c>
      <c r="BK94" s="116"/>
      <c r="BL94" s="116" t="n">
        <v>12</v>
      </c>
      <c r="BW94" s="116" t="n">
        <v>21</v>
      </c>
      <c r="BX94" s="14" t="s">
        <v>302</v>
      </c>
    </row>
    <row r="95">
      <c r="A95" s="151"/>
      <c r="C95" s="152" t="s">
        <v>304</v>
      </c>
      <c r="D95" s="152" t="s">
        <v>4</v>
      </c>
      <c r="F95" s="153" t="n">
        <v>12</v>
      </c>
      <c r="K95" s="154"/>
    </row>
    <row r="96">
      <c r="A96" s="151"/>
      <c r="B96" s="157" t="s">
        <v>177</v>
      </c>
      <c r="C96" s="155" t="s">
        <v>305</v>
      </c>
      <c r="D96" s="152"/>
      <c r="E96" s="152"/>
      <c r="F96" s="152"/>
      <c r="G96" s="152"/>
      <c r="H96" s="152"/>
      <c r="I96" s="152"/>
      <c r="J96" s="152"/>
      <c r="K96" s="156"/>
      <c r="BX96" s="155" t="s">
        <v>305</v>
      </c>
    </row>
    <row r="97">
      <c r="A97" s="144" t="s">
        <v>4</v>
      </c>
      <c r="B97" s="145" t="s">
        <v>168</v>
      </c>
      <c r="C97" s="146" t="s">
        <v>169</v>
      </c>
      <c r="D97" s="145"/>
      <c r="E97" s="147" t="s">
        <v>79</v>
      </c>
      <c r="F97" s="147" t="s">
        <v>79</v>
      </c>
      <c r="G97" s="147" t="s">
        <v>79</v>
      </c>
      <c r="H97" s="123">
        <f>SUM(H98:H113)</f>
      </c>
      <c r="I97" s="123">
        <f>SUM(I98:I113)</f>
      </c>
      <c r="J97" s="123">
        <f>SUM(J98:J113)</f>
      </c>
      <c r="K97" s="148" t="s">
        <v>4</v>
      </c>
      <c r="AI97" s="131" t="s">
        <v>103</v>
      </c>
      <c r="AS97" s="123">
        <f>SUM(AJ98:AJ113)</f>
      </c>
      <c r="AT97" s="123">
        <f>SUM(AK98:AK113)</f>
      </c>
      <c r="AU97" s="123">
        <f>SUM(AL98:AL113)</f>
      </c>
    </row>
    <row r="98">
      <c r="A98" s="9" t="s">
        <v>306</v>
      </c>
      <c r="B98" s="10" t="s">
        <v>307</v>
      </c>
      <c r="C98" s="14" t="s">
        <v>308</v>
      </c>
      <c r="D98" s="10"/>
      <c r="E98" s="10" t="s">
        <v>172</v>
      </c>
      <c r="F98" s="116" t="n">
        <v>104.1434</v>
      </c>
      <c r="G98" s="116" t="n">
        <v>0</v>
      </c>
      <c r="H98" s="116">
        <f>F98*AO98</f>
      </c>
      <c r="I98" s="116">
        <f>F98*AP98</f>
      </c>
      <c r="J98" s="116">
        <f>F98*G98</f>
      </c>
      <c r="K98" s="149" t="s">
        <v>159</v>
      </c>
      <c r="Z98" s="116">
        <f>IF(AQ98="5",BJ98,0)</f>
      </c>
      <c r="AB98" s="116">
        <f>IF(AQ98="1",BH98,0)</f>
      </c>
      <c r="AC98" s="116">
        <f>IF(AQ98="1",BI98,0)</f>
      </c>
      <c r="AD98" s="116">
        <f>IF(AQ98="7",BH98,0)</f>
      </c>
      <c r="AE98" s="116">
        <f>IF(AQ98="7",BI98,0)</f>
      </c>
      <c r="AF98" s="116">
        <f>IF(AQ98="2",BH98,0)</f>
      </c>
      <c r="AG98" s="116">
        <f>IF(AQ98="2",BI98,0)</f>
      </c>
      <c r="AH98" s="116">
        <f>IF(AQ98="0",BJ98,0)</f>
      </c>
      <c r="AI98" s="131" t="s">
        <v>103</v>
      </c>
      <c r="AJ98" s="116">
        <f>IF(AN98=0,J98,0)</f>
      </c>
      <c r="AK98" s="116">
        <f>IF(AN98=12,J98,0)</f>
      </c>
      <c r="AL98" s="116">
        <f>IF(AN98=21,J98,0)</f>
      </c>
      <c r="AN98" s="116" t="n">
        <v>21</v>
      </c>
      <c r="AO98" s="116">
        <f>G98*0</f>
      </c>
      <c r="AP98" s="116">
        <f>G98*(1-0)</f>
      </c>
      <c r="AQ98" s="150" t="s">
        <v>88</v>
      </c>
      <c r="AV98" s="116">
        <f>AW98+AX98</f>
      </c>
      <c r="AW98" s="116">
        <f>F98*AO98</f>
      </c>
      <c r="AX98" s="116">
        <f>F98*AP98</f>
      </c>
      <c r="AY98" s="150" t="s">
        <v>173</v>
      </c>
      <c r="AZ98" s="150" t="s">
        <v>287</v>
      </c>
      <c r="BA98" s="131" t="s">
        <v>288</v>
      </c>
      <c r="BC98" s="116">
        <f>AW98+AX98</f>
      </c>
      <c r="BD98" s="116">
        <f>G98/(100-BE98)*100</f>
      </c>
      <c r="BE98" s="116" t="n">
        <v>0</v>
      </c>
      <c r="BF98" s="116">
        <f>98</f>
      </c>
      <c r="BH98" s="116">
        <f>F98*AO98</f>
      </c>
      <c r="BI98" s="116">
        <f>F98*AP98</f>
      </c>
      <c r="BJ98" s="116">
        <f>F98*G98</f>
      </c>
      <c r="BK98" s="116"/>
      <c r="BL98" s="116" t="n">
        <v>13</v>
      </c>
      <c r="BW98" s="116" t="n">
        <v>21</v>
      </c>
      <c r="BX98" s="14" t="s">
        <v>308</v>
      </c>
    </row>
    <row r="99">
      <c r="A99" s="151"/>
      <c r="C99" s="152" t="s">
        <v>309</v>
      </c>
      <c r="D99" s="152" t="s">
        <v>4</v>
      </c>
      <c r="F99" s="153" t="n">
        <v>104.1434</v>
      </c>
      <c r="K99" s="154"/>
    </row>
    <row r="100">
      <c r="A100" s="9" t="s">
        <v>310</v>
      </c>
      <c r="B100" s="10" t="s">
        <v>311</v>
      </c>
      <c r="C100" s="14" t="s">
        <v>312</v>
      </c>
      <c r="D100" s="10"/>
      <c r="E100" s="10" t="s">
        <v>172</v>
      </c>
      <c r="F100" s="116" t="n">
        <v>52.0717</v>
      </c>
      <c r="G100" s="116" t="n">
        <v>0</v>
      </c>
      <c r="H100" s="116">
        <f>F100*AO100</f>
      </c>
      <c r="I100" s="116">
        <f>F100*AP100</f>
      </c>
      <c r="J100" s="116">
        <f>F100*G100</f>
      </c>
      <c r="K100" s="149" t="s">
        <v>159</v>
      </c>
      <c r="Z100" s="116">
        <f>IF(AQ100="5",BJ100,0)</f>
      </c>
      <c r="AB100" s="116">
        <f>IF(AQ100="1",BH100,0)</f>
      </c>
      <c r="AC100" s="116">
        <f>IF(AQ100="1",BI100,0)</f>
      </c>
      <c r="AD100" s="116">
        <f>IF(AQ100="7",BH100,0)</f>
      </c>
      <c r="AE100" s="116">
        <f>IF(AQ100="7",BI100,0)</f>
      </c>
      <c r="AF100" s="116">
        <f>IF(AQ100="2",BH100,0)</f>
      </c>
      <c r="AG100" s="116">
        <f>IF(AQ100="2",BI100,0)</f>
      </c>
      <c r="AH100" s="116">
        <f>IF(AQ100="0",BJ100,0)</f>
      </c>
      <c r="AI100" s="131" t="s">
        <v>103</v>
      </c>
      <c r="AJ100" s="116">
        <f>IF(AN100=0,J100,0)</f>
      </c>
      <c r="AK100" s="116">
        <f>IF(AN100=12,J100,0)</f>
      </c>
      <c r="AL100" s="116">
        <f>IF(AN100=21,J100,0)</f>
      </c>
      <c r="AN100" s="116" t="n">
        <v>21</v>
      </c>
      <c r="AO100" s="116">
        <f>G100*0</f>
      </c>
      <c r="AP100" s="116">
        <f>G100*(1-0)</f>
      </c>
      <c r="AQ100" s="150" t="s">
        <v>88</v>
      </c>
      <c r="AV100" s="116">
        <f>AW100+AX100</f>
      </c>
      <c r="AW100" s="116">
        <f>F100*AO100</f>
      </c>
      <c r="AX100" s="116">
        <f>F100*AP100</f>
      </c>
      <c r="AY100" s="150" t="s">
        <v>173</v>
      </c>
      <c r="AZ100" s="150" t="s">
        <v>287</v>
      </c>
      <c r="BA100" s="131" t="s">
        <v>288</v>
      </c>
      <c r="BC100" s="116">
        <f>AW100+AX100</f>
      </c>
      <c r="BD100" s="116">
        <f>G100/(100-BE100)*100</f>
      </c>
      <c r="BE100" s="116" t="n">
        <v>0</v>
      </c>
      <c r="BF100" s="116">
        <f>100</f>
      </c>
      <c r="BH100" s="116">
        <f>F100*AO100</f>
      </c>
      <c r="BI100" s="116">
        <f>F100*AP100</f>
      </c>
      <c r="BJ100" s="116">
        <f>F100*G100</f>
      </c>
      <c r="BK100" s="116"/>
      <c r="BL100" s="116" t="n">
        <v>13</v>
      </c>
      <c r="BW100" s="116" t="n">
        <v>21</v>
      </c>
      <c r="BX100" s="14" t="s">
        <v>312</v>
      </c>
    </row>
    <row r="101">
      <c r="A101" s="151"/>
      <c r="C101" s="152" t="s">
        <v>313</v>
      </c>
      <c r="D101" s="152" t="s">
        <v>314</v>
      </c>
      <c r="F101" s="153" t="n">
        <v>52.0717</v>
      </c>
      <c r="K101" s="154"/>
    </row>
    <row r="102">
      <c r="A102" s="151"/>
      <c r="B102" s="157" t="s">
        <v>177</v>
      </c>
      <c r="C102" s="155" t="s">
        <v>315</v>
      </c>
      <c r="D102" s="152"/>
      <c r="E102" s="152"/>
      <c r="F102" s="152"/>
      <c r="G102" s="152"/>
      <c r="H102" s="152"/>
      <c r="I102" s="152"/>
      <c r="J102" s="152"/>
      <c r="K102" s="156"/>
      <c r="BX102" s="155" t="s">
        <v>315</v>
      </c>
    </row>
    <row r="103">
      <c r="A103" s="9" t="s">
        <v>316</v>
      </c>
      <c r="B103" s="10" t="s">
        <v>317</v>
      </c>
      <c r="C103" s="14" t="s">
        <v>318</v>
      </c>
      <c r="D103" s="10"/>
      <c r="E103" s="10" t="s">
        <v>172</v>
      </c>
      <c r="F103" s="116" t="n">
        <v>83.96</v>
      </c>
      <c r="G103" s="116" t="n">
        <v>0</v>
      </c>
      <c r="H103" s="116">
        <f>F103*AO103</f>
      </c>
      <c r="I103" s="116">
        <f>F103*AP103</f>
      </c>
      <c r="J103" s="116">
        <f>F103*G103</f>
      </c>
      <c r="K103" s="149" t="s">
        <v>159</v>
      </c>
      <c r="Z103" s="116">
        <f>IF(AQ103="5",BJ103,0)</f>
      </c>
      <c r="AB103" s="116">
        <f>IF(AQ103="1",BH103,0)</f>
      </c>
      <c r="AC103" s="116">
        <f>IF(AQ103="1",BI103,0)</f>
      </c>
      <c r="AD103" s="116">
        <f>IF(AQ103="7",BH103,0)</f>
      </c>
      <c r="AE103" s="116">
        <f>IF(AQ103="7",BI103,0)</f>
      </c>
      <c r="AF103" s="116">
        <f>IF(AQ103="2",BH103,0)</f>
      </c>
      <c r="AG103" s="116">
        <f>IF(AQ103="2",BI103,0)</f>
      </c>
      <c r="AH103" s="116">
        <f>IF(AQ103="0",BJ103,0)</f>
      </c>
      <c r="AI103" s="131" t="s">
        <v>103</v>
      </c>
      <c r="AJ103" s="116">
        <f>IF(AN103=0,J103,0)</f>
      </c>
      <c r="AK103" s="116">
        <f>IF(AN103=12,J103,0)</f>
      </c>
      <c r="AL103" s="116">
        <f>IF(AN103=21,J103,0)</f>
      </c>
      <c r="AN103" s="116" t="n">
        <v>21</v>
      </c>
      <c r="AO103" s="116">
        <f>G103*0</f>
      </c>
      <c r="AP103" s="116">
        <f>G103*(1-0)</f>
      </c>
      <c r="AQ103" s="150" t="s">
        <v>88</v>
      </c>
      <c r="AV103" s="116">
        <f>AW103+AX103</f>
      </c>
      <c r="AW103" s="116">
        <f>F103*AO103</f>
      </c>
      <c r="AX103" s="116">
        <f>F103*AP103</f>
      </c>
      <c r="AY103" s="150" t="s">
        <v>173</v>
      </c>
      <c r="AZ103" s="150" t="s">
        <v>287</v>
      </c>
      <c r="BA103" s="131" t="s">
        <v>288</v>
      </c>
      <c r="BC103" s="116">
        <f>AW103+AX103</f>
      </c>
      <c r="BD103" s="116">
        <f>G103/(100-BE103)*100</f>
      </c>
      <c r="BE103" s="116" t="n">
        <v>0</v>
      </c>
      <c r="BF103" s="116">
        <f>103</f>
      </c>
      <c r="BH103" s="116">
        <f>F103*AO103</f>
      </c>
      <c r="BI103" s="116">
        <f>F103*AP103</f>
      </c>
      <c r="BJ103" s="116">
        <f>F103*G103</f>
      </c>
      <c r="BK103" s="116"/>
      <c r="BL103" s="116" t="n">
        <v>13</v>
      </c>
      <c r="BW103" s="116" t="n">
        <v>21</v>
      </c>
      <c r="BX103" s="14" t="s">
        <v>318</v>
      </c>
    </row>
    <row r="104">
      <c r="A104" s="151"/>
      <c r="C104" s="152" t="s">
        <v>319</v>
      </c>
      <c r="D104" s="152" t="s">
        <v>320</v>
      </c>
      <c r="F104" s="153" t="n">
        <v>68.2</v>
      </c>
      <c r="K104" s="154"/>
    </row>
    <row r="105">
      <c r="A105" s="151"/>
      <c r="C105" s="152" t="s">
        <v>321</v>
      </c>
      <c r="D105" s="152" t="s">
        <v>320</v>
      </c>
      <c r="F105" s="153" t="n">
        <v>15.76</v>
      </c>
      <c r="K105" s="154"/>
    </row>
    <row r="106" ht="36.75">
      <c r="A106" s="151"/>
      <c r="B106" s="157" t="s">
        <v>177</v>
      </c>
      <c r="C106" s="155" t="s">
        <v>322</v>
      </c>
      <c r="D106" s="152"/>
      <c r="E106" s="152"/>
      <c r="F106" s="152"/>
      <c r="G106" s="152"/>
      <c r="H106" s="152"/>
      <c r="I106" s="152"/>
      <c r="J106" s="152"/>
      <c r="K106" s="156"/>
      <c r="BX106" s="155" t="s">
        <v>322</v>
      </c>
    </row>
    <row r="107">
      <c r="A107" s="9" t="s">
        <v>323</v>
      </c>
      <c r="B107" s="10" t="s">
        <v>324</v>
      </c>
      <c r="C107" s="14" t="s">
        <v>325</v>
      </c>
      <c r="D107" s="10"/>
      <c r="E107" s="10" t="s">
        <v>172</v>
      </c>
      <c r="F107" s="116" t="n">
        <v>41.98</v>
      </c>
      <c r="G107" s="116" t="n">
        <v>0</v>
      </c>
      <c r="H107" s="116">
        <f>F107*AO107</f>
      </c>
      <c r="I107" s="116">
        <f>F107*AP107</f>
      </c>
      <c r="J107" s="116">
        <f>F107*G107</f>
      </c>
      <c r="K107" s="149" t="s">
        <v>159</v>
      </c>
      <c r="Z107" s="116">
        <f>IF(AQ107="5",BJ107,0)</f>
      </c>
      <c r="AB107" s="116">
        <f>IF(AQ107="1",BH107,0)</f>
      </c>
      <c r="AC107" s="116">
        <f>IF(AQ107="1",BI107,0)</f>
      </c>
      <c r="AD107" s="116">
        <f>IF(AQ107="7",BH107,0)</f>
      </c>
      <c r="AE107" s="116">
        <f>IF(AQ107="7",BI107,0)</f>
      </c>
      <c r="AF107" s="116">
        <f>IF(AQ107="2",BH107,0)</f>
      </c>
      <c r="AG107" s="116">
        <f>IF(AQ107="2",BI107,0)</f>
      </c>
      <c r="AH107" s="116">
        <f>IF(AQ107="0",BJ107,0)</f>
      </c>
      <c r="AI107" s="131" t="s">
        <v>103</v>
      </c>
      <c r="AJ107" s="116">
        <f>IF(AN107=0,J107,0)</f>
      </c>
      <c r="AK107" s="116">
        <f>IF(AN107=12,J107,0)</f>
      </c>
      <c r="AL107" s="116">
        <f>IF(AN107=21,J107,0)</f>
      </c>
      <c r="AN107" s="116" t="n">
        <v>21</v>
      </c>
      <c r="AO107" s="116">
        <f>G107*0</f>
      </c>
      <c r="AP107" s="116">
        <f>G107*(1-0)</f>
      </c>
      <c r="AQ107" s="150" t="s">
        <v>88</v>
      </c>
      <c r="AV107" s="116">
        <f>AW107+AX107</f>
      </c>
      <c r="AW107" s="116">
        <f>F107*AO107</f>
      </c>
      <c r="AX107" s="116">
        <f>F107*AP107</f>
      </c>
      <c r="AY107" s="150" t="s">
        <v>173</v>
      </c>
      <c r="AZ107" s="150" t="s">
        <v>287</v>
      </c>
      <c r="BA107" s="131" t="s">
        <v>288</v>
      </c>
      <c r="BC107" s="116">
        <f>AW107+AX107</f>
      </c>
      <c r="BD107" s="116">
        <f>G107/(100-BE107)*100</f>
      </c>
      <c r="BE107" s="116" t="n">
        <v>0</v>
      </c>
      <c r="BF107" s="116">
        <f>107</f>
      </c>
      <c r="BH107" s="116">
        <f>F107*AO107</f>
      </c>
      <c r="BI107" s="116">
        <f>F107*AP107</f>
      </c>
      <c r="BJ107" s="116">
        <f>F107*G107</f>
      </c>
      <c r="BK107" s="116"/>
      <c r="BL107" s="116" t="n">
        <v>13</v>
      </c>
      <c r="BW107" s="116" t="n">
        <v>21</v>
      </c>
      <c r="BX107" s="14" t="s">
        <v>325</v>
      </c>
    </row>
    <row r="108">
      <c r="A108" s="151"/>
      <c r="C108" s="152" t="s">
        <v>326</v>
      </c>
      <c r="D108" s="152" t="s">
        <v>314</v>
      </c>
      <c r="F108" s="153" t="n">
        <v>41.98</v>
      </c>
      <c r="K108" s="154"/>
    </row>
    <row r="109">
      <c r="A109" s="151"/>
      <c r="B109" s="157" t="s">
        <v>177</v>
      </c>
      <c r="C109" s="155" t="s">
        <v>315</v>
      </c>
      <c r="D109" s="152"/>
      <c r="E109" s="152"/>
      <c r="F109" s="152"/>
      <c r="G109" s="152"/>
      <c r="H109" s="152"/>
      <c r="I109" s="152"/>
      <c r="J109" s="152"/>
      <c r="K109" s="156"/>
      <c r="BX109" s="155" t="s">
        <v>315</v>
      </c>
    </row>
    <row r="110">
      <c r="A110" s="9" t="s">
        <v>327</v>
      </c>
      <c r="B110" s="10" t="s">
        <v>328</v>
      </c>
      <c r="C110" s="14" t="s">
        <v>329</v>
      </c>
      <c r="D110" s="10"/>
      <c r="E110" s="10" t="s">
        <v>216</v>
      </c>
      <c r="F110" s="116" t="n">
        <v>492</v>
      </c>
      <c r="G110" s="116" t="n">
        <v>0</v>
      </c>
      <c r="H110" s="116">
        <f>F110*AO110</f>
      </c>
      <c r="I110" s="116">
        <f>F110*AP110</f>
      </c>
      <c r="J110" s="116">
        <f>F110*G110</f>
      </c>
      <c r="K110" s="149" t="s">
        <v>159</v>
      </c>
      <c r="Z110" s="116">
        <f>IF(AQ110="5",BJ110,0)</f>
      </c>
      <c r="AB110" s="116">
        <f>IF(AQ110="1",BH110,0)</f>
      </c>
      <c r="AC110" s="116">
        <f>IF(AQ110="1",BI110,0)</f>
      </c>
      <c r="AD110" s="116">
        <f>IF(AQ110="7",BH110,0)</f>
      </c>
      <c r="AE110" s="116">
        <f>IF(AQ110="7",BI110,0)</f>
      </c>
      <c r="AF110" s="116">
        <f>IF(AQ110="2",BH110,0)</f>
      </c>
      <c r="AG110" s="116">
        <f>IF(AQ110="2",BI110,0)</f>
      </c>
      <c r="AH110" s="116">
        <f>IF(AQ110="0",BJ110,0)</f>
      </c>
      <c r="AI110" s="131" t="s">
        <v>103</v>
      </c>
      <c r="AJ110" s="116">
        <f>IF(AN110=0,J110,0)</f>
      </c>
      <c r="AK110" s="116">
        <f>IF(AN110=12,J110,0)</f>
      </c>
      <c r="AL110" s="116">
        <f>IF(AN110=21,J110,0)</f>
      </c>
      <c r="AN110" s="116" t="n">
        <v>21</v>
      </c>
      <c r="AO110" s="116">
        <f>G110*0</f>
      </c>
      <c r="AP110" s="116">
        <f>G110*(1-0)</f>
      </c>
      <c r="AQ110" s="150" t="s">
        <v>88</v>
      </c>
      <c r="AV110" s="116">
        <f>AW110+AX110</f>
      </c>
      <c r="AW110" s="116">
        <f>F110*AO110</f>
      </c>
      <c r="AX110" s="116">
        <f>F110*AP110</f>
      </c>
      <c r="AY110" s="150" t="s">
        <v>173</v>
      </c>
      <c r="AZ110" s="150" t="s">
        <v>287</v>
      </c>
      <c r="BA110" s="131" t="s">
        <v>288</v>
      </c>
      <c r="BC110" s="116">
        <f>AW110+AX110</f>
      </c>
      <c r="BD110" s="116">
        <f>G110/(100-BE110)*100</f>
      </c>
      <c r="BE110" s="116" t="n">
        <v>0</v>
      </c>
      <c r="BF110" s="116">
        <f>110</f>
      </c>
      <c r="BH110" s="116">
        <f>F110*AO110</f>
      </c>
      <c r="BI110" s="116">
        <f>F110*AP110</f>
      </c>
      <c r="BJ110" s="116">
        <f>F110*G110</f>
      </c>
      <c r="BK110" s="116"/>
      <c r="BL110" s="116" t="n">
        <v>13</v>
      </c>
      <c r="BW110" s="116" t="n">
        <v>21</v>
      </c>
      <c r="BX110" s="14" t="s">
        <v>329</v>
      </c>
    </row>
    <row r="111">
      <c r="A111" s="151"/>
      <c r="C111" s="152" t="s">
        <v>330</v>
      </c>
      <c r="D111" s="152" t="s">
        <v>4</v>
      </c>
      <c r="F111" s="153" t="n">
        <v>492</v>
      </c>
      <c r="K111" s="154"/>
    </row>
    <row r="112">
      <c r="A112" s="151"/>
      <c r="B112" s="157" t="s">
        <v>177</v>
      </c>
      <c r="C112" s="155" t="s">
        <v>331</v>
      </c>
      <c r="D112" s="152"/>
      <c r="E112" s="152"/>
      <c r="F112" s="152"/>
      <c r="G112" s="152"/>
      <c r="H112" s="152"/>
      <c r="I112" s="152"/>
      <c r="J112" s="152"/>
      <c r="K112" s="156"/>
      <c r="BX112" s="155" t="s">
        <v>331</v>
      </c>
    </row>
    <row r="113">
      <c r="A113" s="9" t="s">
        <v>332</v>
      </c>
      <c r="B113" s="10" t="s">
        <v>333</v>
      </c>
      <c r="C113" s="14" t="s">
        <v>334</v>
      </c>
      <c r="D113" s="10"/>
      <c r="E113" s="10" t="s">
        <v>172</v>
      </c>
      <c r="F113" s="116" t="n">
        <v>3</v>
      </c>
      <c r="G113" s="116" t="n">
        <v>0</v>
      </c>
      <c r="H113" s="116">
        <f>F113*AO113</f>
      </c>
      <c r="I113" s="116">
        <f>F113*AP113</f>
      </c>
      <c r="J113" s="116">
        <f>F113*G113</f>
      </c>
      <c r="K113" s="149" t="s">
        <v>159</v>
      </c>
      <c r="Z113" s="116">
        <f>IF(AQ113="5",BJ113,0)</f>
      </c>
      <c r="AB113" s="116">
        <f>IF(AQ113="1",BH113,0)</f>
      </c>
      <c r="AC113" s="116">
        <f>IF(AQ113="1",BI113,0)</f>
      </c>
      <c r="AD113" s="116">
        <f>IF(AQ113="7",BH113,0)</f>
      </c>
      <c r="AE113" s="116">
        <f>IF(AQ113="7",BI113,0)</f>
      </c>
      <c r="AF113" s="116">
        <f>IF(AQ113="2",BH113,0)</f>
      </c>
      <c r="AG113" s="116">
        <f>IF(AQ113="2",BI113,0)</f>
      </c>
      <c r="AH113" s="116">
        <f>IF(AQ113="0",BJ113,0)</f>
      </c>
      <c r="AI113" s="131" t="s">
        <v>103</v>
      </c>
      <c r="AJ113" s="116">
        <f>IF(AN113=0,J113,0)</f>
      </c>
      <c r="AK113" s="116">
        <f>IF(AN113=12,J113,0)</f>
      </c>
      <c r="AL113" s="116">
        <f>IF(AN113=21,J113,0)</f>
      </c>
      <c r="AN113" s="116" t="n">
        <v>21</v>
      </c>
      <c r="AO113" s="116">
        <f>G113*0</f>
      </c>
      <c r="AP113" s="116">
        <f>G113*(1-0)</f>
      </c>
      <c r="AQ113" s="150" t="s">
        <v>88</v>
      </c>
      <c r="AV113" s="116">
        <f>AW113+AX113</f>
      </c>
      <c r="AW113" s="116">
        <f>F113*AO113</f>
      </c>
      <c r="AX113" s="116">
        <f>F113*AP113</f>
      </c>
      <c r="AY113" s="150" t="s">
        <v>173</v>
      </c>
      <c r="AZ113" s="150" t="s">
        <v>287</v>
      </c>
      <c r="BA113" s="131" t="s">
        <v>288</v>
      </c>
      <c r="BC113" s="116">
        <f>AW113+AX113</f>
      </c>
      <c r="BD113" s="116">
        <f>G113/(100-BE113)*100</f>
      </c>
      <c r="BE113" s="116" t="n">
        <v>0</v>
      </c>
      <c r="BF113" s="116">
        <f>113</f>
      </c>
      <c r="BH113" s="116">
        <f>F113*AO113</f>
      </c>
      <c r="BI113" s="116">
        <f>F113*AP113</f>
      </c>
      <c r="BJ113" s="116">
        <f>F113*G113</f>
      </c>
      <c r="BK113" s="116"/>
      <c r="BL113" s="116" t="n">
        <v>13</v>
      </c>
      <c r="BW113" s="116" t="n">
        <v>21</v>
      </c>
      <c r="BX113" s="14" t="s">
        <v>334</v>
      </c>
    </row>
    <row r="114">
      <c r="A114" s="151"/>
      <c r="C114" s="152" t="s">
        <v>335</v>
      </c>
      <c r="D114" s="152" t="s">
        <v>336</v>
      </c>
      <c r="F114" s="153" t="n">
        <v>3</v>
      </c>
      <c r="K114" s="154"/>
    </row>
    <row r="115">
      <c r="A115" s="144" t="s">
        <v>4</v>
      </c>
      <c r="B115" s="145" t="s">
        <v>256</v>
      </c>
      <c r="C115" s="146" t="s">
        <v>337</v>
      </c>
      <c r="D115" s="145"/>
      <c r="E115" s="147" t="s">
        <v>79</v>
      </c>
      <c r="F115" s="147" t="s">
        <v>79</v>
      </c>
      <c r="G115" s="147" t="s">
        <v>79</v>
      </c>
      <c r="H115" s="123">
        <f>SUM(H116:H149)</f>
      </c>
      <c r="I115" s="123">
        <f>SUM(I116:I149)</f>
      </c>
      <c r="J115" s="123">
        <f>SUM(J116:J149)</f>
      </c>
      <c r="K115" s="148" t="s">
        <v>4</v>
      </c>
      <c r="AI115" s="131" t="s">
        <v>103</v>
      </c>
      <c r="AS115" s="123">
        <f>SUM(AJ116:AJ149)</f>
      </c>
      <c r="AT115" s="123">
        <f>SUM(AK116:AK149)</f>
      </c>
      <c r="AU115" s="123">
        <f>SUM(AL116:AL149)</f>
      </c>
    </row>
    <row r="116">
      <c r="A116" s="9" t="s">
        <v>338</v>
      </c>
      <c r="B116" s="10" t="s">
        <v>339</v>
      </c>
      <c r="C116" s="14" t="s">
        <v>340</v>
      </c>
      <c r="D116" s="10"/>
      <c r="E116" s="10" t="s">
        <v>158</v>
      </c>
      <c r="F116" s="116" t="n">
        <v>31.52</v>
      </c>
      <c r="G116" s="116" t="n">
        <v>0</v>
      </c>
      <c r="H116" s="116">
        <f>F116*AO116</f>
      </c>
      <c r="I116" s="116">
        <f>F116*AP116</f>
      </c>
      <c r="J116" s="116">
        <f>F116*G116</f>
      </c>
      <c r="K116" s="149" t="s">
        <v>159</v>
      </c>
      <c r="Z116" s="116">
        <f>IF(AQ116="5",BJ116,0)</f>
      </c>
      <c r="AB116" s="116">
        <f>IF(AQ116="1",BH116,0)</f>
      </c>
      <c r="AC116" s="116">
        <f>IF(AQ116="1",BI116,0)</f>
      </c>
      <c r="AD116" s="116">
        <f>IF(AQ116="7",BH116,0)</f>
      </c>
      <c r="AE116" s="116">
        <f>IF(AQ116="7",BI116,0)</f>
      </c>
      <c r="AF116" s="116">
        <f>IF(AQ116="2",BH116,0)</f>
      </c>
      <c r="AG116" s="116">
        <f>IF(AQ116="2",BI116,0)</f>
      </c>
      <c r="AH116" s="116">
        <f>IF(AQ116="0",BJ116,0)</f>
      </c>
      <c r="AI116" s="131" t="s">
        <v>103</v>
      </c>
      <c r="AJ116" s="116">
        <f>IF(AN116=0,J116,0)</f>
      </c>
      <c r="AK116" s="116">
        <f>IF(AN116=12,J116,0)</f>
      </c>
      <c r="AL116" s="116">
        <f>IF(AN116=21,J116,0)</f>
      </c>
      <c r="AN116" s="116" t="n">
        <v>21</v>
      </c>
      <c r="AO116" s="116">
        <f>G116*0.091290323</f>
      </c>
      <c r="AP116" s="116">
        <f>G116*(1-0.091290323)</f>
      </c>
      <c r="AQ116" s="150" t="s">
        <v>88</v>
      </c>
      <c r="AV116" s="116">
        <f>AW116+AX116</f>
      </c>
      <c r="AW116" s="116">
        <f>F116*AO116</f>
      </c>
      <c r="AX116" s="116">
        <f>F116*AP116</f>
      </c>
      <c r="AY116" s="150" t="s">
        <v>341</v>
      </c>
      <c r="AZ116" s="150" t="s">
        <v>287</v>
      </c>
      <c r="BA116" s="131" t="s">
        <v>288</v>
      </c>
      <c r="BC116" s="116">
        <f>AW116+AX116</f>
      </c>
      <c r="BD116" s="116">
        <f>G116/(100-BE116)*100</f>
      </c>
      <c r="BE116" s="116" t="n">
        <v>0</v>
      </c>
      <c r="BF116" s="116">
        <f>116</f>
      </c>
      <c r="BH116" s="116">
        <f>F116*AO116</f>
      </c>
      <c r="BI116" s="116">
        <f>F116*AP116</f>
      </c>
      <c r="BJ116" s="116">
        <f>F116*G116</f>
      </c>
      <c r="BK116" s="116"/>
      <c r="BL116" s="116" t="n">
        <v>15</v>
      </c>
      <c r="BW116" s="116" t="n">
        <v>21</v>
      </c>
      <c r="BX116" s="14" t="s">
        <v>340</v>
      </c>
    </row>
    <row r="117">
      <c r="A117" s="151"/>
      <c r="C117" s="152" t="s">
        <v>342</v>
      </c>
      <c r="D117" s="152" t="s">
        <v>320</v>
      </c>
      <c r="F117" s="153" t="n">
        <v>31.52</v>
      </c>
      <c r="K117" s="154"/>
    </row>
    <row r="118">
      <c r="A118" s="151"/>
      <c r="B118" s="157" t="s">
        <v>177</v>
      </c>
      <c r="C118" s="155" t="s">
        <v>343</v>
      </c>
      <c r="D118" s="152"/>
      <c r="E118" s="152"/>
      <c r="F118" s="152"/>
      <c r="G118" s="152"/>
      <c r="H118" s="152"/>
      <c r="I118" s="152"/>
      <c r="J118" s="152"/>
      <c r="K118" s="156"/>
      <c r="BX118" s="155" t="s">
        <v>343</v>
      </c>
    </row>
    <row r="119">
      <c r="A119" s="9" t="s">
        <v>344</v>
      </c>
      <c r="B119" s="10" t="s">
        <v>345</v>
      </c>
      <c r="C119" s="14" t="s">
        <v>346</v>
      </c>
      <c r="D119" s="10"/>
      <c r="E119" s="10" t="s">
        <v>158</v>
      </c>
      <c r="F119" s="116" t="n">
        <v>31.52</v>
      </c>
      <c r="G119" s="116" t="n">
        <v>0</v>
      </c>
      <c r="H119" s="116">
        <f>F119*AO119</f>
      </c>
      <c r="I119" s="116">
        <f>F119*AP119</f>
      </c>
      <c r="J119" s="116">
        <f>F119*G119</f>
      </c>
      <c r="K119" s="149" t="s">
        <v>159</v>
      </c>
      <c r="Z119" s="116">
        <f>IF(AQ119="5",BJ119,0)</f>
      </c>
      <c r="AB119" s="116">
        <f>IF(AQ119="1",BH119,0)</f>
      </c>
      <c r="AC119" s="116">
        <f>IF(AQ119="1",BI119,0)</f>
      </c>
      <c r="AD119" s="116">
        <f>IF(AQ119="7",BH119,0)</f>
      </c>
      <c r="AE119" s="116">
        <f>IF(AQ119="7",BI119,0)</f>
      </c>
      <c r="AF119" s="116">
        <f>IF(AQ119="2",BH119,0)</f>
      </c>
      <c r="AG119" s="116">
        <f>IF(AQ119="2",BI119,0)</f>
      </c>
      <c r="AH119" s="116">
        <f>IF(AQ119="0",BJ119,0)</f>
      </c>
      <c r="AI119" s="131" t="s">
        <v>103</v>
      </c>
      <c r="AJ119" s="116">
        <f>IF(AN119=0,J119,0)</f>
      </c>
      <c r="AK119" s="116">
        <f>IF(AN119=12,J119,0)</f>
      </c>
      <c r="AL119" s="116">
        <f>IF(AN119=21,J119,0)</f>
      </c>
      <c r="AN119" s="116" t="n">
        <v>21</v>
      </c>
      <c r="AO119" s="116">
        <f>G119*0</f>
      </c>
      <c r="AP119" s="116">
        <f>G119*(1-0)</f>
      </c>
      <c r="AQ119" s="150" t="s">
        <v>88</v>
      </c>
      <c r="AV119" s="116">
        <f>AW119+AX119</f>
      </c>
      <c r="AW119" s="116">
        <f>F119*AO119</f>
      </c>
      <c r="AX119" s="116">
        <f>F119*AP119</f>
      </c>
      <c r="AY119" s="150" t="s">
        <v>341</v>
      </c>
      <c r="AZ119" s="150" t="s">
        <v>287</v>
      </c>
      <c r="BA119" s="131" t="s">
        <v>288</v>
      </c>
      <c r="BC119" s="116">
        <f>AW119+AX119</f>
      </c>
      <c r="BD119" s="116">
        <f>G119/(100-BE119)*100</f>
      </c>
      <c r="BE119" s="116" t="n">
        <v>0</v>
      </c>
      <c r="BF119" s="116">
        <f>119</f>
      </c>
      <c r="BH119" s="116">
        <f>F119*AO119</f>
      </c>
      <c r="BI119" s="116">
        <f>F119*AP119</f>
      </c>
      <c r="BJ119" s="116">
        <f>F119*G119</f>
      </c>
      <c r="BK119" s="116"/>
      <c r="BL119" s="116" t="n">
        <v>15</v>
      </c>
      <c r="BW119" s="116" t="n">
        <v>21</v>
      </c>
      <c r="BX119" s="14" t="s">
        <v>346</v>
      </c>
    </row>
    <row r="120">
      <c r="A120" s="151"/>
      <c r="C120" s="152" t="s">
        <v>347</v>
      </c>
      <c r="D120" s="152" t="s">
        <v>4</v>
      </c>
      <c r="F120" s="153" t="n">
        <v>31.52</v>
      </c>
      <c r="K120" s="154"/>
    </row>
    <row r="121">
      <c r="A121" s="9" t="s">
        <v>348</v>
      </c>
      <c r="B121" s="10" t="s">
        <v>349</v>
      </c>
      <c r="C121" s="14" t="s">
        <v>350</v>
      </c>
      <c r="D121" s="10"/>
      <c r="E121" s="10" t="s">
        <v>158</v>
      </c>
      <c r="F121" s="116" t="n">
        <v>12</v>
      </c>
      <c r="G121" s="116" t="n">
        <v>0</v>
      </c>
      <c r="H121" s="116">
        <f>F121*AO121</f>
      </c>
      <c r="I121" s="116">
        <f>F121*AP121</f>
      </c>
      <c r="J121" s="116">
        <f>F121*G121</f>
      </c>
      <c r="K121" s="149" t="s">
        <v>159</v>
      </c>
      <c r="Z121" s="116">
        <f>IF(AQ121="5",BJ121,0)</f>
      </c>
      <c r="AB121" s="116">
        <f>IF(AQ121="1",BH121,0)</f>
      </c>
      <c r="AC121" s="116">
        <f>IF(AQ121="1",BI121,0)</f>
      </c>
      <c r="AD121" s="116">
        <f>IF(AQ121="7",BH121,0)</f>
      </c>
      <c r="AE121" s="116">
        <f>IF(AQ121="7",BI121,0)</f>
      </c>
      <c r="AF121" s="116">
        <f>IF(AQ121="2",BH121,0)</f>
      </c>
      <c r="AG121" s="116">
        <f>IF(AQ121="2",BI121,0)</f>
      </c>
      <c r="AH121" s="116">
        <f>IF(AQ121="0",BJ121,0)</f>
      </c>
      <c r="AI121" s="131" t="s">
        <v>103</v>
      </c>
      <c r="AJ121" s="116">
        <f>IF(AN121=0,J121,0)</f>
      </c>
      <c r="AK121" s="116">
        <f>IF(AN121=12,J121,0)</f>
      </c>
      <c r="AL121" s="116">
        <f>IF(AN121=21,J121,0)</f>
      </c>
      <c r="AN121" s="116" t="n">
        <v>21</v>
      </c>
      <c r="AO121" s="116">
        <f>G121*0.173781513</f>
      </c>
      <c r="AP121" s="116">
        <f>G121*(1-0.173781513)</f>
      </c>
      <c r="AQ121" s="150" t="s">
        <v>88</v>
      </c>
      <c r="AV121" s="116">
        <f>AW121+AX121</f>
      </c>
      <c r="AW121" s="116">
        <f>F121*AO121</f>
      </c>
      <c r="AX121" s="116">
        <f>F121*AP121</f>
      </c>
      <c r="AY121" s="150" t="s">
        <v>341</v>
      </c>
      <c r="AZ121" s="150" t="s">
        <v>287</v>
      </c>
      <c r="BA121" s="131" t="s">
        <v>288</v>
      </c>
      <c r="BC121" s="116">
        <f>AW121+AX121</f>
      </c>
      <c r="BD121" s="116">
        <f>G121/(100-BE121)*100</f>
      </c>
      <c r="BE121" s="116" t="n">
        <v>0</v>
      </c>
      <c r="BF121" s="116">
        <f>121</f>
      </c>
      <c r="BH121" s="116">
        <f>F121*AO121</f>
      </c>
      <c r="BI121" s="116">
        <f>F121*AP121</f>
      </c>
      <c r="BJ121" s="116">
        <f>F121*G121</f>
      </c>
      <c r="BK121" s="116"/>
      <c r="BL121" s="116" t="n">
        <v>15</v>
      </c>
      <c r="BW121" s="116" t="n">
        <v>21</v>
      </c>
      <c r="BX121" s="14" t="s">
        <v>350</v>
      </c>
    </row>
    <row r="122">
      <c r="A122" s="151"/>
      <c r="C122" s="152" t="s">
        <v>351</v>
      </c>
      <c r="D122" s="152" t="s">
        <v>336</v>
      </c>
      <c r="F122" s="153" t="n">
        <v>12</v>
      </c>
      <c r="K122" s="154"/>
    </row>
    <row r="123">
      <c r="A123" s="151"/>
      <c r="B123" s="157" t="s">
        <v>177</v>
      </c>
      <c r="C123" s="155" t="s">
        <v>352</v>
      </c>
      <c r="D123" s="152"/>
      <c r="E123" s="152"/>
      <c r="F123" s="152"/>
      <c r="G123" s="152"/>
      <c r="H123" s="152"/>
      <c r="I123" s="152"/>
      <c r="J123" s="152"/>
      <c r="K123" s="156"/>
      <c r="BX123" s="155" t="s">
        <v>352</v>
      </c>
    </row>
    <row r="124">
      <c r="A124" s="9" t="s">
        <v>353</v>
      </c>
      <c r="B124" s="10" t="s">
        <v>354</v>
      </c>
      <c r="C124" s="14" t="s">
        <v>355</v>
      </c>
      <c r="D124" s="10"/>
      <c r="E124" s="10" t="s">
        <v>158</v>
      </c>
      <c r="F124" s="116" t="n">
        <v>12</v>
      </c>
      <c r="G124" s="116" t="n">
        <v>0</v>
      </c>
      <c r="H124" s="116">
        <f>F124*AO124</f>
      </c>
      <c r="I124" s="116">
        <f>F124*AP124</f>
      </c>
      <c r="J124" s="116">
        <f>F124*G124</f>
      </c>
      <c r="K124" s="149" t="s">
        <v>159</v>
      </c>
      <c r="Z124" s="116">
        <f>IF(AQ124="5",BJ124,0)</f>
      </c>
      <c r="AB124" s="116">
        <f>IF(AQ124="1",BH124,0)</f>
      </c>
      <c r="AC124" s="116">
        <f>IF(AQ124="1",BI124,0)</f>
      </c>
      <c r="AD124" s="116">
        <f>IF(AQ124="7",BH124,0)</f>
      </c>
      <c r="AE124" s="116">
        <f>IF(AQ124="7",BI124,0)</f>
      </c>
      <c r="AF124" s="116">
        <f>IF(AQ124="2",BH124,0)</f>
      </c>
      <c r="AG124" s="116">
        <f>IF(AQ124="2",BI124,0)</f>
      </c>
      <c r="AH124" s="116">
        <f>IF(AQ124="0",BJ124,0)</f>
      </c>
      <c r="AI124" s="131" t="s">
        <v>103</v>
      </c>
      <c r="AJ124" s="116">
        <f>IF(AN124=0,J124,0)</f>
      </c>
      <c r="AK124" s="116">
        <f>IF(AN124=12,J124,0)</f>
      </c>
      <c r="AL124" s="116">
        <f>IF(AN124=21,J124,0)</f>
      </c>
      <c r="AN124" s="116" t="n">
        <v>21</v>
      </c>
      <c r="AO124" s="116">
        <f>G124*0</f>
      </c>
      <c r="AP124" s="116">
        <f>G124*(1-0)</f>
      </c>
      <c r="AQ124" s="150" t="s">
        <v>88</v>
      </c>
      <c r="AV124" s="116">
        <f>AW124+AX124</f>
      </c>
      <c r="AW124" s="116">
        <f>F124*AO124</f>
      </c>
      <c r="AX124" s="116">
        <f>F124*AP124</f>
      </c>
      <c r="AY124" s="150" t="s">
        <v>341</v>
      </c>
      <c r="AZ124" s="150" t="s">
        <v>287</v>
      </c>
      <c r="BA124" s="131" t="s">
        <v>288</v>
      </c>
      <c r="BC124" s="116">
        <f>AW124+AX124</f>
      </c>
      <c r="BD124" s="116">
        <f>G124/(100-BE124)*100</f>
      </c>
      <c r="BE124" s="116" t="n">
        <v>0</v>
      </c>
      <c r="BF124" s="116">
        <f>124</f>
      </c>
      <c r="BH124" s="116">
        <f>F124*AO124</f>
      </c>
      <c r="BI124" s="116">
        <f>F124*AP124</f>
      </c>
      <c r="BJ124" s="116">
        <f>F124*G124</f>
      </c>
      <c r="BK124" s="116"/>
      <c r="BL124" s="116" t="n">
        <v>15</v>
      </c>
      <c r="BW124" s="116" t="n">
        <v>21</v>
      </c>
      <c r="BX124" s="14" t="s">
        <v>355</v>
      </c>
    </row>
    <row r="125">
      <c r="A125" s="151"/>
      <c r="C125" s="152" t="s">
        <v>234</v>
      </c>
      <c r="D125" s="152" t="s">
        <v>4</v>
      </c>
      <c r="F125" s="153" t="n">
        <v>12</v>
      </c>
      <c r="K125" s="154"/>
    </row>
    <row r="126">
      <c r="A126" s="9" t="s">
        <v>356</v>
      </c>
      <c r="B126" s="10" t="s">
        <v>357</v>
      </c>
      <c r="C126" s="14" t="s">
        <v>358</v>
      </c>
      <c r="D126" s="10"/>
      <c r="E126" s="10" t="s">
        <v>172</v>
      </c>
      <c r="F126" s="116" t="n">
        <v>3</v>
      </c>
      <c r="G126" s="116" t="n">
        <v>0</v>
      </c>
      <c r="H126" s="116">
        <f>F126*AO126</f>
      </c>
      <c r="I126" s="116">
        <f>F126*AP126</f>
      </c>
      <c r="J126" s="116">
        <f>F126*G126</f>
      </c>
      <c r="K126" s="149" t="s">
        <v>159</v>
      </c>
      <c r="Z126" s="116">
        <f>IF(AQ126="5",BJ126,0)</f>
      </c>
      <c r="AB126" s="116">
        <f>IF(AQ126="1",BH126,0)</f>
      </c>
      <c r="AC126" s="116">
        <f>IF(AQ126="1",BI126,0)</f>
      </c>
      <c r="AD126" s="116">
        <f>IF(AQ126="7",BH126,0)</f>
      </c>
      <c r="AE126" s="116">
        <f>IF(AQ126="7",BI126,0)</f>
      </c>
      <c r="AF126" s="116">
        <f>IF(AQ126="2",BH126,0)</f>
      </c>
      <c r="AG126" s="116">
        <f>IF(AQ126="2",BI126,0)</f>
      </c>
      <c r="AH126" s="116">
        <f>IF(AQ126="0",BJ126,0)</f>
      </c>
      <c r="AI126" s="131" t="s">
        <v>103</v>
      </c>
      <c r="AJ126" s="116">
        <f>IF(AN126=0,J126,0)</f>
      </c>
      <c r="AK126" s="116">
        <f>IF(AN126=12,J126,0)</f>
      </c>
      <c r="AL126" s="116">
        <f>IF(AN126=21,J126,0)</f>
      </c>
      <c r="AN126" s="116" t="n">
        <v>21</v>
      </c>
      <c r="AO126" s="116">
        <f>G126*0.051044386</f>
      </c>
      <c r="AP126" s="116">
        <f>G126*(1-0.051044386)</f>
      </c>
      <c r="AQ126" s="150" t="s">
        <v>88</v>
      </c>
      <c r="AV126" s="116">
        <f>AW126+AX126</f>
      </c>
      <c r="AW126" s="116">
        <f>F126*AO126</f>
      </c>
      <c r="AX126" s="116">
        <f>F126*AP126</f>
      </c>
      <c r="AY126" s="150" t="s">
        <v>341</v>
      </c>
      <c r="AZ126" s="150" t="s">
        <v>287</v>
      </c>
      <c r="BA126" s="131" t="s">
        <v>288</v>
      </c>
      <c r="BC126" s="116">
        <f>AW126+AX126</f>
      </c>
      <c r="BD126" s="116">
        <f>G126/(100-BE126)*100</f>
      </c>
      <c r="BE126" s="116" t="n">
        <v>0</v>
      </c>
      <c r="BF126" s="116">
        <f>126</f>
      </c>
      <c r="BH126" s="116">
        <f>F126*AO126</f>
      </c>
      <c r="BI126" s="116">
        <f>F126*AP126</f>
      </c>
      <c r="BJ126" s="116">
        <f>F126*G126</f>
      </c>
      <c r="BK126" s="116"/>
      <c r="BL126" s="116" t="n">
        <v>15</v>
      </c>
      <c r="BW126" s="116" t="n">
        <v>21</v>
      </c>
      <c r="BX126" s="14" t="s">
        <v>358</v>
      </c>
    </row>
    <row r="127">
      <c r="A127" s="151"/>
      <c r="C127" s="152" t="s">
        <v>91</v>
      </c>
      <c r="D127" s="152" t="s">
        <v>4</v>
      </c>
      <c r="F127" s="153" t="n">
        <v>3</v>
      </c>
      <c r="K127" s="154"/>
    </row>
    <row r="128">
      <c r="A128" s="151"/>
      <c r="B128" s="157" t="s">
        <v>177</v>
      </c>
      <c r="C128" s="155" t="s">
        <v>359</v>
      </c>
      <c r="D128" s="152"/>
      <c r="E128" s="152"/>
      <c r="F128" s="152"/>
      <c r="G128" s="152"/>
      <c r="H128" s="152"/>
      <c r="I128" s="152"/>
      <c r="J128" s="152"/>
      <c r="K128" s="156"/>
      <c r="BX128" s="155" t="s">
        <v>359</v>
      </c>
    </row>
    <row r="129">
      <c r="A129" s="9" t="s">
        <v>360</v>
      </c>
      <c r="B129" s="10" t="s">
        <v>361</v>
      </c>
      <c r="C129" s="14" t="s">
        <v>362</v>
      </c>
      <c r="D129" s="10"/>
      <c r="E129" s="10" t="s">
        <v>172</v>
      </c>
      <c r="F129" s="116" t="n">
        <v>3</v>
      </c>
      <c r="G129" s="116" t="n">
        <v>0</v>
      </c>
      <c r="H129" s="116">
        <f>F129*AO129</f>
      </c>
      <c r="I129" s="116">
        <f>F129*AP129</f>
      </c>
      <c r="J129" s="116">
        <f>F129*G129</f>
      </c>
      <c r="K129" s="149" t="s">
        <v>159</v>
      </c>
      <c r="Z129" s="116">
        <f>IF(AQ129="5",BJ129,0)</f>
      </c>
      <c r="AB129" s="116">
        <f>IF(AQ129="1",BH129,0)</f>
      </c>
      <c r="AC129" s="116">
        <f>IF(AQ129="1",BI129,0)</f>
      </c>
      <c r="AD129" s="116">
        <f>IF(AQ129="7",BH129,0)</f>
      </c>
      <c r="AE129" s="116">
        <f>IF(AQ129="7",BI129,0)</f>
      </c>
      <c r="AF129" s="116">
        <f>IF(AQ129="2",BH129,0)</f>
      </c>
      <c r="AG129" s="116">
        <f>IF(AQ129="2",BI129,0)</f>
      </c>
      <c r="AH129" s="116">
        <f>IF(AQ129="0",BJ129,0)</f>
      </c>
      <c r="AI129" s="131" t="s">
        <v>103</v>
      </c>
      <c r="AJ129" s="116">
        <f>IF(AN129=0,J129,0)</f>
      </c>
      <c r="AK129" s="116">
        <f>IF(AN129=12,J129,0)</f>
      </c>
      <c r="AL129" s="116">
        <f>IF(AN129=21,J129,0)</f>
      </c>
      <c r="AN129" s="116" t="n">
        <v>21</v>
      </c>
      <c r="AO129" s="116">
        <f>G129*0</f>
      </c>
      <c r="AP129" s="116">
        <f>G129*(1-0)</f>
      </c>
      <c r="AQ129" s="150" t="s">
        <v>88</v>
      </c>
      <c r="AV129" s="116">
        <f>AW129+AX129</f>
      </c>
      <c r="AW129" s="116">
        <f>F129*AO129</f>
      </c>
      <c r="AX129" s="116">
        <f>F129*AP129</f>
      </c>
      <c r="AY129" s="150" t="s">
        <v>341</v>
      </c>
      <c r="AZ129" s="150" t="s">
        <v>287</v>
      </c>
      <c r="BA129" s="131" t="s">
        <v>288</v>
      </c>
      <c r="BC129" s="116">
        <f>AW129+AX129</f>
      </c>
      <c r="BD129" s="116">
        <f>G129/(100-BE129)*100</f>
      </c>
      <c r="BE129" s="116" t="n">
        <v>0</v>
      </c>
      <c r="BF129" s="116">
        <f>129</f>
      </c>
      <c r="BH129" s="116">
        <f>F129*AO129</f>
      </c>
      <c r="BI129" s="116">
        <f>F129*AP129</f>
      </c>
      <c r="BJ129" s="116">
        <f>F129*G129</f>
      </c>
      <c r="BK129" s="116"/>
      <c r="BL129" s="116" t="n">
        <v>15</v>
      </c>
      <c r="BW129" s="116" t="n">
        <v>21</v>
      </c>
      <c r="BX129" s="14" t="s">
        <v>362</v>
      </c>
    </row>
    <row r="130">
      <c r="A130" s="151"/>
      <c r="C130" s="152" t="s">
        <v>91</v>
      </c>
      <c r="D130" s="152" t="s">
        <v>4</v>
      </c>
      <c r="F130" s="153" t="n">
        <v>3</v>
      </c>
      <c r="K130" s="154"/>
    </row>
    <row r="131">
      <c r="A131" s="9" t="s">
        <v>363</v>
      </c>
      <c r="B131" s="10" t="s">
        <v>364</v>
      </c>
      <c r="C131" s="14" t="s">
        <v>365</v>
      </c>
      <c r="D131" s="10"/>
      <c r="E131" s="10" t="s">
        <v>158</v>
      </c>
      <c r="F131" s="116" t="n">
        <v>12</v>
      </c>
      <c r="G131" s="116" t="n">
        <v>0</v>
      </c>
      <c r="H131" s="116">
        <f>F131*AO131</f>
      </c>
      <c r="I131" s="116">
        <f>F131*AP131</f>
      </c>
      <c r="J131" s="116">
        <f>F131*G131</f>
      </c>
      <c r="K131" s="149" t="s">
        <v>159</v>
      </c>
      <c r="Z131" s="116">
        <f>IF(AQ131="5",BJ131,0)</f>
      </c>
      <c r="AB131" s="116">
        <f>IF(AQ131="1",BH131,0)</f>
      </c>
      <c r="AC131" s="116">
        <f>IF(AQ131="1",BI131,0)</f>
      </c>
      <c r="AD131" s="116">
        <f>IF(AQ131="7",BH131,0)</f>
      </c>
      <c r="AE131" s="116">
        <f>IF(AQ131="7",BI131,0)</f>
      </c>
      <c r="AF131" s="116">
        <f>IF(AQ131="2",BH131,0)</f>
      </c>
      <c r="AG131" s="116">
        <f>IF(AQ131="2",BI131,0)</f>
      </c>
      <c r="AH131" s="116">
        <f>IF(AQ131="0",BJ131,0)</f>
      </c>
      <c r="AI131" s="131" t="s">
        <v>103</v>
      </c>
      <c r="AJ131" s="116">
        <f>IF(AN131=0,J131,0)</f>
      </c>
      <c r="AK131" s="116">
        <f>IF(AN131=12,J131,0)</f>
      </c>
      <c r="AL131" s="116">
        <f>IF(AN131=21,J131,0)</f>
      </c>
      <c r="AN131" s="116" t="n">
        <v>21</v>
      </c>
      <c r="AO131" s="116">
        <f>G131*0.039345241</f>
      </c>
      <c r="AP131" s="116">
        <f>G131*(1-0.039345241)</f>
      </c>
      <c r="AQ131" s="150" t="s">
        <v>88</v>
      </c>
      <c r="AV131" s="116">
        <f>AW131+AX131</f>
      </c>
      <c r="AW131" s="116">
        <f>F131*AO131</f>
      </c>
      <c r="AX131" s="116">
        <f>F131*AP131</f>
      </c>
      <c r="AY131" s="150" t="s">
        <v>341</v>
      </c>
      <c r="AZ131" s="150" t="s">
        <v>287</v>
      </c>
      <c r="BA131" s="131" t="s">
        <v>288</v>
      </c>
      <c r="BC131" s="116">
        <f>AW131+AX131</f>
      </c>
      <c r="BD131" s="116">
        <f>G131/(100-BE131)*100</f>
      </c>
      <c r="BE131" s="116" t="n">
        <v>0</v>
      </c>
      <c r="BF131" s="116">
        <f>131</f>
      </c>
      <c r="BH131" s="116">
        <f>F131*AO131</f>
      </c>
      <c r="BI131" s="116">
        <f>F131*AP131</f>
      </c>
      <c r="BJ131" s="116">
        <f>F131*G131</f>
      </c>
      <c r="BK131" s="116"/>
      <c r="BL131" s="116" t="n">
        <v>15</v>
      </c>
      <c r="BW131" s="116" t="n">
        <v>21</v>
      </c>
      <c r="BX131" s="14" t="s">
        <v>365</v>
      </c>
    </row>
    <row r="132">
      <c r="A132" s="151"/>
      <c r="C132" s="152" t="s">
        <v>234</v>
      </c>
      <c r="D132" s="152" t="s">
        <v>4</v>
      </c>
      <c r="F132" s="153" t="n">
        <v>12</v>
      </c>
      <c r="K132" s="154"/>
    </row>
    <row r="133">
      <c r="A133" s="151"/>
      <c r="B133" s="157" t="s">
        <v>177</v>
      </c>
      <c r="C133" s="155" t="s">
        <v>366</v>
      </c>
      <c r="D133" s="152"/>
      <c r="E133" s="152"/>
      <c r="F133" s="152"/>
      <c r="G133" s="152"/>
      <c r="H133" s="152"/>
      <c r="I133" s="152"/>
      <c r="J133" s="152"/>
      <c r="K133" s="156"/>
      <c r="BX133" s="155" t="s">
        <v>366</v>
      </c>
    </row>
    <row r="134">
      <c r="A134" s="9" t="s">
        <v>367</v>
      </c>
      <c r="B134" s="10" t="s">
        <v>368</v>
      </c>
      <c r="C134" s="14" t="s">
        <v>369</v>
      </c>
      <c r="D134" s="10"/>
      <c r="E134" s="10" t="s">
        <v>158</v>
      </c>
      <c r="F134" s="116" t="n">
        <v>12</v>
      </c>
      <c r="G134" s="116" t="n">
        <v>0</v>
      </c>
      <c r="H134" s="116">
        <f>F134*AO134</f>
      </c>
      <c r="I134" s="116">
        <f>F134*AP134</f>
      </c>
      <c r="J134" s="116">
        <f>F134*G134</f>
      </c>
      <c r="K134" s="149" t="s">
        <v>159</v>
      </c>
      <c r="Z134" s="116">
        <f>IF(AQ134="5",BJ134,0)</f>
      </c>
      <c r="AB134" s="116">
        <f>IF(AQ134="1",BH134,0)</f>
      </c>
      <c r="AC134" s="116">
        <f>IF(AQ134="1",BI134,0)</f>
      </c>
      <c r="AD134" s="116">
        <f>IF(AQ134="7",BH134,0)</f>
      </c>
      <c r="AE134" s="116">
        <f>IF(AQ134="7",BI134,0)</f>
      </c>
      <c r="AF134" s="116">
        <f>IF(AQ134="2",BH134,0)</f>
      </c>
      <c r="AG134" s="116">
        <f>IF(AQ134="2",BI134,0)</f>
      </c>
      <c r="AH134" s="116">
        <f>IF(AQ134="0",BJ134,0)</f>
      </c>
      <c r="AI134" s="131" t="s">
        <v>103</v>
      </c>
      <c r="AJ134" s="116">
        <f>IF(AN134=0,J134,0)</f>
      </c>
      <c r="AK134" s="116">
        <f>IF(AN134=12,J134,0)</f>
      </c>
      <c r="AL134" s="116">
        <f>IF(AN134=21,J134,0)</f>
      </c>
      <c r="AN134" s="116" t="n">
        <v>21</v>
      </c>
      <c r="AO134" s="116">
        <f>G134*0</f>
      </c>
      <c r="AP134" s="116">
        <f>G134*(1-0)</f>
      </c>
      <c r="AQ134" s="150" t="s">
        <v>88</v>
      </c>
      <c r="AV134" s="116">
        <f>AW134+AX134</f>
      </c>
      <c r="AW134" s="116">
        <f>F134*AO134</f>
      </c>
      <c r="AX134" s="116">
        <f>F134*AP134</f>
      </c>
      <c r="AY134" s="150" t="s">
        <v>341</v>
      </c>
      <c r="AZ134" s="150" t="s">
        <v>287</v>
      </c>
      <c r="BA134" s="131" t="s">
        <v>288</v>
      </c>
      <c r="BC134" s="116">
        <f>AW134+AX134</f>
      </c>
      <c r="BD134" s="116">
        <f>G134/(100-BE134)*100</f>
      </c>
      <c r="BE134" s="116" t="n">
        <v>0</v>
      </c>
      <c r="BF134" s="116">
        <f>134</f>
      </c>
      <c r="BH134" s="116">
        <f>F134*AO134</f>
      </c>
      <c r="BI134" s="116">
        <f>F134*AP134</f>
      </c>
      <c r="BJ134" s="116">
        <f>F134*G134</f>
      </c>
      <c r="BK134" s="116"/>
      <c r="BL134" s="116" t="n">
        <v>15</v>
      </c>
      <c r="BW134" s="116" t="n">
        <v>21</v>
      </c>
      <c r="BX134" s="14" t="s">
        <v>369</v>
      </c>
    </row>
    <row r="135">
      <c r="A135" s="151"/>
      <c r="C135" s="152" t="s">
        <v>234</v>
      </c>
      <c r="D135" s="152" t="s">
        <v>4</v>
      </c>
      <c r="F135" s="153" t="n">
        <v>12</v>
      </c>
      <c r="K135" s="154"/>
    </row>
    <row r="136">
      <c r="A136" s="9" t="s">
        <v>370</v>
      </c>
      <c r="B136" s="10" t="s">
        <v>371</v>
      </c>
      <c r="C136" s="14" t="s">
        <v>372</v>
      </c>
      <c r="D136" s="10"/>
      <c r="E136" s="10" t="s">
        <v>158</v>
      </c>
      <c r="F136" s="116" t="n">
        <v>77.375</v>
      </c>
      <c r="G136" s="116" t="n">
        <v>0</v>
      </c>
      <c r="H136" s="116">
        <f>F136*AO136</f>
      </c>
      <c r="I136" s="116">
        <f>F136*AP136</f>
      </c>
      <c r="J136" s="116">
        <f>F136*G136</f>
      </c>
      <c r="K136" s="149" t="s">
        <v>159</v>
      </c>
      <c r="Z136" s="116">
        <f>IF(AQ136="5",BJ136,0)</f>
      </c>
      <c r="AB136" s="116">
        <f>IF(AQ136="1",BH136,0)</f>
      </c>
      <c r="AC136" s="116">
        <f>IF(AQ136="1",BI136,0)</f>
      </c>
      <c r="AD136" s="116">
        <f>IF(AQ136="7",BH136,0)</f>
      </c>
      <c r="AE136" s="116">
        <f>IF(AQ136="7",BI136,0)</f>
      </c>
      <c r="AF136" s="116">
        <f>IF(AQ136="2",BH136,0)</f>
      </c>
      <c r="AG136" s="116">
        <f>IF(AQ136="2",BI136,0)</f>
      </c>
      <c r="AH136" s="116">
        <f>IF(AQ136="0",BJ136,0)</f>
      </c>
      <c r="AI136" s="131" t="s">
        <v>103</v>
      </c>
      <c r="AJ136" s="116">
        <f>IF(AN136=0,J136,0)</f>
      </c>
      <c r="AK136" s="116">
        <f>IF(AN136=12,J136,0)</f>
      </c>
      <c r="AL136" s="116">
        <f>IF(AN136=21,J136,0)</f>
      </c>
      <c r="AN136" s="116" t="n">
        <v>21</v>
      </c>
      <c r="AO136" s="116">
        <f>G136*0.195775819</f>
      </c>
      <c r="AP136" s="116">
        <f>G136*(1-0.195775819)</f>
      </c>
      <c r="AQ136" s="150" t="s">
        <v>88</v>
      </c>
      <c r="AV136" s="116">
        <f>AW136+AX136</f>
      </c>
      <c r="AW136" s="116">
        <f>F136*AO136</f>
      </c>
      <c r="AX136" s="116">
        <f>F136*AP136</f>
      </c>
      <c r="AY136" s="150" t="s">
        <v>341</v>
      </c>
      <c r="AZ136" s="150" t="s">
        <v>287</v>
      </c>
      <c r="BA136" s="131" t="s">
        <v>288</v>
      </c>
      <c r="BC136" s="116">
        <f>AW136+AX136</f>
      </c>
      <c r="BD136" s="116">
        <f>G136/(100-BE136)*100</f>
      </c>
      <c r="BE136" s="116" t="n">
        <v>0</v>
      </c>
      <c r="BF136" s="116">
        <f>136</f>
      </c>
      <c r="BH136" s="116">
        <f>F136*AO136</f>
      </c>
      <c r="BI136" s="116">
        <f>F136*AP136</f>
      </c>
      <c r="BJ136" s="116">
        <f>F136*G136</f>
      </c>
      <c r="BK136" s="116"/>
      <c r="BL136" s="116" t="n">
        <v>15</v>
      </c>
      <c r="BW136" s="116" t="n">
        <v>21</v>
      </c>
      <c r="BX136" s="14" t="s">
        <v>372</v>
      </c>
    </row>
    <row r="137">
      <c r="A137" s="151"/>
      <c r="C137" s="152" t="s">
        <v>373</v>
      </c>
      <c r="D137" s="152" t="s">
        <v>290</v>
      </c>
      <c r="F137" s="153" t="n">
        <v>77.375</v>
      </c>
      <c r="K137" s="154"/>
    </row>
    <row r="138">
      <c r="A138" s="151"/>
      <c r="B138" s="157" t="s">
        <v>177</v>
      </c>
      <c r="C138" s="155" t="s">
        <v>352</v>
      </c>
      <c r="D138" s="152"/>
      <c r="E138" s="152"/>
      <c r="F138" s="152"/>
      <c r="G138" s="152"/>
      <c r="H138" s="152"/>
      <c r="I138" s="152"/>
      <c r="J138" s="152"/>
      <c r="K138" s="156"/>
      <c r="BX138" s="155" t="s">
        <v>352</v>
      </c>
    </row>
    <row r="139">
      <c r="A139" s="9" t="s">
        <v>187</v>
      </c>
      <c r="B139" s="10" t="s">
        <v>374</v>
      </c>
      <c r="C139" s="14" t="s">
        <v>375</v>
      </c>
      <c r="D139" s="10"/>
      <c r="E139" s="10" t="s">
        <v>158</v>
      </c>
      <c r="F139" s="116" t="n">
        <v>77.375</v>
      </c>
      <c r="G139" s="116" t="n">
        <v>0</v>
      </c>
      <c r="H139" s="116">
        <f>F139*AO139</f>
      </c>
      <c r="I139" s="116">
        <f>F139*AP139</f>
      </c>
      <c r="J139" s="116">
        <f>F139*G139</f>
      </c>
      <c r="K139" s="149" t="s">
        <v>159</v>
      </c>
      <c r="Z139" s="116">
        <f>IF(AQ139="5",BJ139,0)</f>
      </c>
      <c r="AB139" s="116">
        <f>IF(AQ139="1",BH139,0)</f>
      </c>
      <c r="AC139" s="116">
        <f>IF(AQ139="1",BI139,0)</f>
      </c>
      <c r="AD139" s="116">
        <f>IF(AQ139="7",BH139,0)</f>
      </c>
      <c r="AE139" s="116">
        <f>IF(AQ139="7",BI139,0)</f>
      </c>
      <c r="AF139" s="116">
        <f>IF(AQ139="2",BH139,0)</f>
      </c>
      <c r="AG139" s="116">
        <f>IF(AQ139="2",BI139,0)</f>
      </c>
      <c r="AH139" s="116">
        <f>IF(AQ139="0",BJ139,0)</f>
      </c>
      <c r="AI139" s="131" t="s">
        <v>103</v>
      </c>
      <c r="AJ139" s="116">
        <f>IF(AN139=0,J139,0)</f>
      </c>
      <c r="AK139" s="116">
        <f>IF(AN139=12,J139,0)</f>
      </c>
      <c r="AL139" s="116">
        <f>IF(AN139=21,J139,0)</f>
      </c>
      <c r="AN139" s="116" t="n">
        <v>21</v>
      </c>
      <c r="AO139" s="116">
        <f>G139*0</f>
      </c>
      <c r="AP139" s="116">
        <f>G139*(1-0)</f>
      </c>
      <c r="AQ139" s="150" t="s">
        <v>88</v>
      </c>
      <c r="AV139" s="116">
        <f>AW139+AX139</f>
      </c>
      <c r="AW139" s="116">
        <f>F139*AO139</f>
      </c>
      <c r="AX139" s="116">
        <f>F139*AP139</f>
      </c>
      <c r="AY139" s="150" t="s">
        <v>341</v>
      </c>
      <c r="AZ139" s="150" t="s">
        <v>287</v>
      </c>
      <c r="BA139" s="131" t="s">
        <v>288</v>
      </c>
      <c r="BC139" s="116">
        <f>AW139+AX139</f>
      </c>
      <c r="BD139" s="116">
        <f>G139/(100-BE139)*100</f>
      </c>
      <c r="BE139" s="116" t="n">
        <v>0</v>
      </c>
      <c r="BF139" s="116">
        <f>139</f>
      </c>
      <c r="BH139" s="116">
        <f>F139*AO139</f>
      </c>
      <c r="BI139" s="116">
        <f>F139*AP139</f>
      </c>
      <c r="BJ139" s="116">
        <f>F139*G139</f>
      </c>
      <c r="BK139" s="116"/>
      <c r="BL139" s="116" t="n">
        <v>15</v>
      </c>
      <c r="BW139" s="116" t="n">
        <v>21</v>
      </c>
      <c r="BX139" s="14" t="s">
        <v>375</v>
      </c>
    </row>
    <row r="140">
      <c r="A140" s="151"/>
      <c r="C140" s="152" t="s">
        <v>376</v>
      </c>
      <c r="D140" s="152" t="s">
        <v>4</v>
      </c>
      <c r="F140" s="153" t="n">
        <v>77.375</v>
      </c>
      <c r="K140" s="154"/>
    </row>
    <row r="141">
      <c r="A141" s="9" t="s">
        <v>377</v>
      </c>
      <c r="B141" s="10" t="s">
        <v>378</v>
      </c>
      <c r="C141" s="14" t="s">
        <v>379</v>
      </c>
      <c r="D141" s="10"/>
      <c r="E141" s="10" t="s">
        <v>172</v>
      </c>
      <c r="F141" s="116" t="n">
        <v>104.1434</v>
      </c>
      <c r="G141" s="116" t="n">
        <v>0</v>
      </c>
      <c r="H141" s="116">
        <f>F141*AO141</f>
      </c>
      <c r="I141" s="116">
        <f>F141*AP141</f>
      </c>
      <c r="J141" s="116">
        <f>F141*G141</f>
      </c>
      <c r="K141" s="149" t="s">
        <v>159</v>
      </c>
      <c r="Z141" s="116">
        <f>IF(AQ141="5",BJ141,0)</f>
      </c>
      <c r="AB141" s="116">
        <f>IF(AQ141="1",BH141,0)</f>
      </c>
      <c r="AC141" s="116">
        <f>IF(AQ141="1",BI141,0)</f>
      </c>
      <c r="AD141" s="116">
        <f>IF(AQ141="7",BH141,0)</f>
      </c>
      <c r="AE141" s="116">
        <f>IF(AQ141="7",BI141,0)</f>
      </c>
      <c r="AF141" s="116">
        <f>IF(AQ141="2",BH141,0)</f>
      </c>
      <c r="AG141" s="116">
        <f>IF(AQ141="2",BI141,0)</f>
      </c>
      <c r="AH141" s="116">
        <f>IF(AQ141="0",BJ141,0)</f>
      </c>
      <c r="AI141" s="131" t="s">
        <v>103</v>
      </c>
      <c r="AJ141" s="116">
        <f>IF(AN141=0,J141,0)</f>
      </c>
      <c r="AK141" s="116">
        <f>IF(AN141=12,J141,0)</f>
      </c>
      <c r="AL141" s="116">
        <f>IF(AN141=21,J141,0)</f>
      </c>
      <c r="AN141" s="116" t="n">
        <v>21</v>
      </c>
      <c r="AO141" s="116">
        <f>G141*0.080279181</f>
      </c>
      <c r="AP141" s="116">
        <f>G141*(1-0.080279181)</f>
      </c>
      <c r="AQ141" s="150" t="s">
        <v>88</v>
      </c>
      <c r="AV141" s="116">
        <f>AW141+AX141</f>
      </c>
      <c r="AW141" s="116">
        <f>F141*AO141</f>
      </c>
      <c r="AX141" s="116">
        <f>F141*AP141</f>
      </c>
      <c r="AY141" s="150" t="s">
        <v>341</v>
      </c>
      <c r="AZ141" s="150" t="s">
        <v>287</v>
      </c>
      <c r="BA141" s="131" t="s">
        <v>288</v>
      </c>
      <c r="BC141" s="116">
        <f>AW141+AX141</f>
      </c>
      <c r="BD141" s="116">
        <f>G141/(100-BE141)*100</f>
      </c>
      <c r="BE141" s="116" t="n">
        <v>0</v>
      </c>
      <c r="BF141" s="116">
        <f>141</f>
      </c>
      <c r="BH141" s="116">
        <f>F141*AO141</f>
      </c>
      <c r="BI141" s="116">
        <f>F141*AP141</f>
      </c>
      <c r="BJ141" s="116">
        <f>F141*G141</f>
      </c>
      <c r="BK141" s="116"/>
      <c r="BL141" s="116" t="n">
        <v>15</v>
      </c>
      <c r="BW141" s="116" t="n">
        <v>21</v>
      </c>
      <c r="BX141" s="14" t="s">
        <v>379</v>
      </c>
    </row>
    <row r="142">
      <c r="A142" s="151"/>
      <c r="C142" s="152" t="s">
        <v>380</v>
      </c>
      <c r="D142" s="152" t="s">
        <v>4</v>
      </c>
      <c r="F142" s="153" t="n">
        <v>104.1434</v>
      </c>
      <c r="K142" s="154"/>
    </row>
    <row r="143">
      <c r="A143" s="151"/>
      <c r="B143" s="157" t="s">
        <v>177</v>
      </c>
      <c r="C143" s="155" t="s">
        <v>359</v>
      </c>
      <c r="D143" s="152"/>
      <c r="E143" s="152"/>
      <c r="F143" s="152"/>
      <c r="G143" s="152"/>
      <c r="H143" s="152"/>
      <c r="I143" s="152"/>
      <c r="J143" s="152"/>
      <c r="K143" s="156"/>
      <c r="BX143" s="155" t="s">
        <v>359</v>
      </c>
    </row>
    <row r="144">
      <c r="A144" s="9" t="s">
        <v>381</v>
      </c>
      <c r="B144" s="10" t="s">
        <v>382</v>
      </c>
      <c r="C144" s="14" t="s">
        <v>383</v>
      </c>
      <c r="D144" s="10"/>
      <c r="E144" s="10" t="s">
        <v>172</v>
      </c>
      <c r="F144" s="116" t="n">
        <v>104.1434</v>
      </c>
      <c r="G144" s="116" t="n">
        <v>0</v>
      </c>
      <c r="H144" s="116">
        <f>F144*AO144</f>
      </c>
      <c r="I144" s="116">
        <f>F144*AP144</f>
      </c>
      <c r="J144" s="116">
        <f>F144*G144</f>
      </c>
      <c r="K144" s="149" t="s">
        <v>159</v>
      </c>
      <c r="Z144" s="116">
        <f>IF(AQ144="5",BJ144,0)</f>
      </c>
      <c r="AB144" s="116">
        <f>IF(AQ144="1",BH144,0)</f>
      </c>
      <c r="AC144" s="116">
        <f>IF(AQ144="1",BI144,0)</f>
      </c>
      <c r="AD144" s="116">
        <f>IF(AQ144="7",BH144,0)</f>
      </c>
      <c r="AE144" s="116">
        <f>IF(AQ144="7",BI144,0)</f>
      </c>
      <c r="AF144" s="116">
        <f>IF(AQ144="2",BH144,0)</f>
      </c>
      <c r="AG144" s="116">
        <f>IF(AQ144="2",BI144,0)</f>
      </c>
      <c r="AH144" s="116">
        <f>IF(AQ144="0",BJ144,0)</f>
      </c>
      <c r="AI144" s="131" t="s">
        <v>103</v>
      </c>
      <c r="AJ144" s="116">
        <f>IF(AN144=0,J144,0)</f>
      </c>
      <c r="AK144" s="116">
        <f>IF(AN144=12,J144,0)</f>
      </c>
      <c r="AL144" s="116">
        <f>IF(AN144=21,J144,0)</f>
      </c>
      <c r="AN144" s="116" t="n">
        <v>21</v>
      </c>
      <c r="AO144" s="116">
        <f>G144*0</f>
      </c>
      <c r="AP144" s="116">
        <f>G144*(1-0)</f>
      </c>
      <c r="AQ144" s="150" t="s">
        <v>88</v>
      </c>
      <c r="AV144" s="116">
        <f>AW144+AX144</f>
      </c>
      <c r="AW144" s="116">
        <f>F144*AO144</f>
      </c>
      <c r="AX144" s="116">
        <f>F144*AP144</f>
      </c>
      <c r="AY144" s="150" t="s">
        <v>341</v>
      </c>
      <c r="AZ144" s="150" t="s">
        <v>287</v>
      </c>
      <c r="BA144" s="131" t="s">
        <v>288</v>
      </c>
      <c r="BC144" s="116">
        <f>AW144+AX144</f>
      </c>
      <c r="BD144" s="116">
        <f>G144/(100-BE144)*100</f>
      </c>
      <c r="BE144" s="116" t="n">
        <v>0</v>
      </c>
      <c r="BF144" s="116">
        <f>144</f>
      </c>
      <c r="BH144" s="116">
        <f>F144*AO144</f>
      </c>
      <c r="BI144" s="116">
        <f>F144*AP144</f>
      </c>
      <c r="BJ144" s="116">
        <f>F144*G144</f>
      </c>
      <c r="BK144" s="116"/>
      <c r="BL144" s="116" t="n">
        <v>15</v>
      </c>
      <c r="BW144" s="116" t="n">
        <v>21</v>
      </c>
      <c r="BX144" s="14" t="s">
        <v>383</v>
      </c>
    </row>
    <row r="145">
      <c r="A145" s="151"/>
      <c r="C145" s="152" t="s">
        <v>380</v>
      </c>
      <c r="D145" s="152" t="s">
        <v>4</v>
      </c>
      <c r="F145" s="153" t="n">
        <v>104.1434</v>
      </c>
      <c r="K145" s="154"/>
    </row>
    <row r="146">
      <c r="A146" s="9" t="s">
        <v>384</v>
      </c>
      <c r="B146" s="10" t="s">
        <v>385</v>
      </c>
      <c r="C146" s="14" t="s">
        <v>386</v>
      </c>
      <c r="D146" s="10"/>
      <c r="E146" s="10" t="s">
        <v>158</v>
      </c>
      <c r="F146" s="116" t="n">
        <v>77.375</v>
      </c>
      <c r="G146" s="116" t="n">
        <v>0</v>
      </c>
      <c r="H146" s="116">
        <f>F146*AO146</f>
      </c>
      <c r="I146" s="116">
        <f>F146*AP146</f>
      </c>
      <c r="J146" s="116">
        <f>F146*G146</f>
      </c>
      <c r="K146" s="149" t="s">
        <v>159</v>
      </c>
      <c r="Z146" s="116">
        <f>IF(AQ146="5",BJ146,0)</f>
      </c>
      <c r="AB146" s="116">
        <f>IF(AQ146="1",BH146,0)</f>
      </c>
      <c r="AC146" s="116">
        <f>IF(AQ146="1",BI146,0)</f>
      </c>
      <c r="AD146" s="116">
        <f>IF(AQ146="7",BH146,0)</f>
      </c>
      <c r="AE146" s="116">
        <f>IF(AQ146="7",BI146,0)</f>
      </c>
      <c r="AF146" s="116">
        <f>IF(AQ146="2",BH146,0)</f>
      </c>
      <c r="AG146" s="116">
        <f>IF(AQ146="2",BI146,0)</f>
      </c>
      <c r="AH146" s="116">
        <f>IF(AQ146="0",BJ146,0)</f>
      </c>
      <c r="AI146" s="131" t="s">
        <v>103</v>
      </c>
      <c r="AJ146" s="116">
        <f>IF(AN146=0,J146,0)</f>
      </c>
      <c r="AK146" s="116">
        <f>IF(AN146=12,J146,0)</f>
      </c>
      <c r="AL146" s="116">
        <f>IF(AN146=21,J146,0)</f>
      </c>
      <c r="AN146" s="116" t="n">
        <v>21</v>
      </c>
      <c r="AO146" s="116">
        <f>G146*0.053169202</f>
      </c>
      <c r="AP146" s="116">
        <f>G146*(1-0.053169202)</f>
      </c>
      <c r="AQ146" s="150" t="s">
        <v>88</v>
      </c>
      <c r="AV146" s="116">
        <f>AW146+AX146</f>
      </c>
      <c r="AW146" s="116">
        <f>F146*AO146</f>
      </c>
      <c r="AX146" s="116">
        <f>F146*AP146</f>
      </c>
      <c r="AY146" s="150" t="s">
        <v>341</v>
      </c>
      <c r="AZ146" s="150" t="s">
        <v>287</v>
      </c>
      <c r="BA146" s="131" t="s">
        <v>288</v>
      </c>
      <c r="BC146" s="116">
        <f>AW146+AX146</f>
      </c>
      <c r="BD146" s="116">
        <f>G146/(100-BE146)*100</f>
      </c>
      <c r="BE146" s="116" t="n">
        <v>0</v>
      </c>
      <c r="BF146" s="116">
        <f>146</f>
      </c>
      <c r="BH146" s="116">
        <f>F146*AO146</f>
      </c>
      <c r="BI146" s="116">
        <f>F146*AP146</f>
      </c>
      <c r="BJ146" s="116">
        <f>F146*G146</f>
      </c>
      <c r="BK146" s="116"/>
      <c r="BL146" s="116" t="n">
        <v>15</v>
      </c>
      <c r="BW146" s="116" t="n">
        <v>21</v>
      </c>
      <c r="BX146" s="14" t="s">
        <v>386</v>
      </c>
    </row>
    <row r="147">
      <c r="A147" s="151"/>
      <c r="C147" s="152" t="s">
        <v>376</v>
      </c>
      <c r="D147" s="152" t="s">
        <v>4</v>
      </c>
      <c r="F147" s="153" t="n">
        <v>77.375</v>
      </c>
      <c r="K147" s="154"/>
    </row>
    <row r="148">
      <c r="A148" s="151"/>
      <c r="B148" s="157" t="s">
        <v>177</v>
      </c>
      <c r="C148" s="155" t="s">
        <v>366</v>
      </c>
      <c r="D148" s="152"/>
      <c r="E148" s="152"/>
      <c r="F148" s="152"/>
      <c r="G148" s="152"/>
      <c r="H148" s="152"/>
      <c r="I148" s="152"/>
      <c r="J148" s="152"/>
      <c r="K148" s="156"/>
      <c r="BX148" s="155" t="s">
        <v>366</v>
      </c>
    </row>
    <row r="149">
      <c r="A149" s="9" t="s">
        <v>387</v>
      </c>
      <c r="B149" s="10" t="s">
        <v>388</v>
      </c>
      <c r="C149" s="14" t="s">
        <v>389</v>
      </c>
      <c r="D149" s="10"/>
      <c r="E149" s="10" t="s">
        <v>158</v>
      </c>
      <c r="F149" s="116" t="n">
        <v>77.375</v>
      </c>
      <c r="G149" s="116" t="n">
        <v>0</v>
      </c>
      <c r="H149" s="116">
        <f>F149*AO149</f>
      </c>
      <c r="I149" s="116">
        <f>F149*AP149</f>
      </c>
      <c r="J149" s="116">
        <f>F149*G149</f>
      </c>
      <c r="K149" s="149" t="s">
        <v>159</v>
      </c>
      <c r="Z149" s="116">
        <f>IF(AQ149="5",BJ149,0)</f>
      </c>
      <c r="AB149" s="116">
        <f>IF(AQ149="1",BH149,0)</f>
      </c>
      <c r="AC149" s="116">
        <f>IF(AQ149="1",BI149,0)</f>
      </c>
      <c r="AD149" s="116">
        <f>IF(AQ149="7",BH149,0)</f>
      </c>
      <c r="AE149" s="116">
        <f>IF(AQ149="7",BI149,0)</f>
      </c>
      <c r="AF149" s="116">
        <f>IF(AQ149="2",BH149,0)</f>
      </c>
      <c r="AG149" s="116">
        <f>IF(AQ149="2",BI149,0)</f>
      </c>
      <c r="AH149" s="116">
        <f>IF(AQ149="0",BJ149,0)</f>
      </c>
      <c r="AI149" s="131" t="s">
        <v>103</v>
      </c>
      <c r="AJ149" s="116">
        <f>IF(AN149=0,J149,0)</f>
      </c>
      <c r="AK149" s="116">
        <f>IF(AN149=12,J149,0)</f>
      </c>
      <c r="AL149" s="116">
        <f>IF(AN149=21,J149,0)</f>
      </c>
      <c r="AN149" s="116" t="n">
        <v>21</v>
      </c>
      <c r="AO149" s="116">
        <f>G149*0</f>
      </c>
      <c r="AP149" s="116">
        <f>G149*(1-0)</f>
      </c>
      <c r="AQ149" s="150" t="s">
        <v>88</v>
      </c>
      <c r="AV149" s="116">
        <f>AW149+AX149</f>
      </c>
      <c r="AW149" s="116">
        <f>F149*AO149</f>
      </c>
      <c r="AX149" s="116">
        <f>F149*AP149</f>
      </c>
      <c r="AY149" s="150" t="s">
        <v>341</v>
      </c>
      <c r="AZ149" s="150" t="s">
        <v>287</v>
      </c>
      <c r="BA149" s="131" t="s">
        <v>288</v>
      </c>
      <c r="BC149" s="116">
        <f>AW149+AX149</f>
      </c>
      <c r="BD149" s="116">
        <f>G149/(100-BE149)*100</f>
      </c>
      <c r="BE149" s="116" t="n">
        <v>0</v>
      </c>
      <c r="BF149" s="116">
        <f>149</f>
      </c>
      <c r="BH149" s="116">
        <f>F149*AO149</f>
      </c>
      <c r="BI149" s="116">
        <f>F149*AP149</f>
      </c>
      <c r="BJ149" s="116">
        <f>F149*G149</f>
      </c>
      <c r="BK149" s="116"/>
      <c r="BL149" s="116" t="n">
        <v>15</v>
      </c>
      <c r="BW149" s="116" t="n">
        <v>21</v>
      </c>
      <c r="BX149" s="14" t="s">
        <v>389</v>
      </c>
    </row>
    <row r="150">
      <c r="A150" s="151"/>
      <c r="C150" s="152" t="s">
        <v>376</v>
      </c>
      <c r="D150" s="152" t="s">
        <v>4</v>
      </c>
      <c r="F150" s="153" t="n">
        <v>77.375</v>
      </c>
      <c r="K150" s="154"/>
    </row>
    <row r="151">
      <c r="A151" s="144" t="s">
        <v>4</v>
      </c>
      <c r="B151" s="145" t="s">
        <v>263</v>
      </c>
      <c r="C151" s="146" t="s">
        <v>390</v>
      </c>
      <c r="D151" s="145"/>
      <c r="E151" s="147" t="s">
        <v>79</v>
      </c>
      <c r="F151" s="147" t="s">
        <v>79</v>
      </c>
      <c r="G151" s="147" t="s">
        <v>79</v>
      </c>
      <c r="H151" s="123">
        <f>SUM(H152:H157)</f>
      </c>
      <c r="I151" s="123">
        <f>SUM(I152:I157)</f>
      </c>
      <c r="J151" s="123">
        <f>SUM(J152:J157)</f>
      </c>
      <c r="K151" s="148" t="s">
        <v>4</v>
      </c>
      <c r="AI151" s="131" t="s">
        <v>103</v>
      </c>
      <c r="AS151" s="123">
        <f>SUM(AJ152:AJ157)</f>
      </c>
      <c r="AT151" s="123">
        <f>SUM(AK152:AK157)</f>
      </c>
      <c r="AU151" s="123">
        <f>SUM(AL152:AL157)</f>
      </c>
    </row>
    <row r="152">
      <c r="A152" s="9" t="s">
        <v>391</v>
      </c>
      <c r="B152" s="10" t="s">
        <v>392</v>
      </c>
      <c r="C152" s="14" t="s">
        <v>393</v>
      </c>
      <c r="D152" s="10"/>
      <c r="E152" s="10" t="s">
        <v>172</v>
      </c>
      <c r="F152" s="116" t="n">
        <v>122.9034</v>
      </c>
      <c r="G152" s="116" t="n">
        <v>0</v>
      </c>
      <c r="H152" s="116">
        <f>F152*AO152</f>
      </c>
      <c r="I152" s="116">
        <f>F152*AP152</f>
      </c>
      <c r="J152" s="116">
        <f>F152*G152</f>
      </c>
      <c r="K152" s="149" t="s">
        <v>159</v>
      </c>
      <c r="Z152" s="116">
        <f>IF(AQ152="5",BJ152,0)</f>
      </c>
      <c r="AB152" s="116">
        <f>IF(AQ152="1",BH152,0)</f>
      </c>
      <c r="AC152" s="116">
        <f>IF(AQ152="1",BI152,0)</f>
      </c>
      <c r="AD152" s="116">
        <f>IF(AQ152="7",BH152,0)</f>
      </c>
      <c r="AE152" s="116">
        <f>IF(AQ152="7",BI152,0)</f>
      </c>
      <c r="AF152" s="116">
        <f>IF(AQ152="2",BH152,0)</f>
      </c>
      <c r="AG152" s="116">
        <f>IF(AQ152="2",BI152,0)</f>
      </c>
      <c r="AH152" s="116">
        <f>IF(AQ152="0",BJ152,0)</f>
      </c>
      <c r="AI152" s="131" t="s">
        <v>103</v>
      </c>
      <c r="AJ152" s="116">
        <f>IF(AN152=0,J152,0)</f>
      </c>
      <c r="AK152" s="116">
        <f>IF(AN152=12,J152,0)</f>
      </c>
      <c r="AL152" s="116">
        <f>IF(AN152=21,J152,0)</f>
      </c>
      <c r="AN152" s="116" t="n">
        <v>21</v>
      </c>
      <c r="AO152" s="116">
        <f>G152*0</f>
      </c>
      <c r="AP152" s="116">
        <f>G152*(1-0)</f>
      </c>
      <c r="AQ152" s="150" t="s">
        <v>88</v>
      </c>
      <c r="AV152" s="116">
        <f>AW152+AX152</f>
      </c>
      <c r="AW152" s="116">
        <f>F152*AO152</f>
      </c>
      <c r="AX152" s="116">
        <f>F152*AP152</f>
      </c>
      <c r="AY152" s="150" t="s">
        <v>394</v>
      </c>
      <c r="AZ152" s="150" t="s">
        <v>287</v>
      </c>
      <c r="BA152" s="131" t="s">
        <v>288</v>
      </c>
      <c r="BC152" s="116">
        <f>AW152+AX152</f>
      </c>
      <c r="BD152" s="116">
        <f>G152/(100-BE152)*100</f>
      </c>
      <c r="BE152" s="116" t="n">
        <v>0</v>
      </c>
      <c r="BF152" s="116">
        <f>152</f>
      </c>
      <c r="BH152" s="116">
        <f>F152*AO152</f>
      </c>
      <c r="BI152" s="116">
        <f>F152*AP152</f>
      </c>
      <c r="BJ152" s="116">
        <f>F152*G152</f>
      </c>
      <c r="BK152" s="116"/>
      <c r="BL152" s="116" t="n">
        <v>16</v>
      </c>
      <c r="BW152" s="116" t="n">
        <v>21</v>
      </c>
      <c r="BX152" s="14" t="s">
        <v>393</v>
      </c>
    </row>
    <row r="153">
      <c r="A153" s="151"/>
      <c r="C153" s="152" t="s">
        <v>395</v>
      </c>
      <c r="D153" s="152" t="s">
        <v>396</v>
      </c>
      <c r="F153" s="153" t="n">
        <v>15.76</v>
      </c>
      <c r="K153" s="154"/>
    </row>
    <row r="154">
      <c r="A154" s="151"/>
      <c r="C154" s="152" t="s">
        <v>380</v>
      </c>
      <c r="D154" s="152" t="s">
        <v>290</v>
      </c>
      <c r="F154" s="153" t="n">
        <v>104.1434</v>
      </c>
      <c r="K154" s="154"/>
    </row>
    <row r="155">
      <c r="A155" s="151"/>
      <c r="C155" s="152" t="s">
        <v>91</v>
      </c>
      <c r="D155" s="152" t="s">
        <v>397</v>
      </c>
      <c r="F155" s="153" t="n">
        <v>3</v>
      </c>
      <c r="K155" s="154"/>
    </row>
    <row r="156" ht="48.75">
      <c r="A156" s="151"/>
      <c r="B156" s="157" t="s">
        <v>177</v>
      </c>
      <c r="C156" s="155" t="s">
        <v>398</v>
      </c>
      <c r="D156" s="152"/>
      <c r="E156" s="152"/>
      <c r="F156" s="152"/>
      <c r="G156" s="152"/>
      <c r="H156" s="152"/>
      <c r="I156" s="152"/>
      <c r="J156" s="152"/>
      <c r="K156" s="156"/>
      <c r="BX156" s="155" t="s">
        <v>398</v>
      </c>
    </row>
    <row r="157">
      <c r="A157" s="9" t="s">
        <v>399</v>
      </c>
      <c r="B157" s="10" t="s">
        <v>400</v>
      </c>
      <c r="C157" s="14" t="s">
        <v>401</v>
      </c>
      <c r="D157" s="10"/>
      <c r="E157" s="10" t="s">
        <v>172</v>
      </c>
      <c r="F157" s="116" t="n">
        <v>274.0324</v>
      </c>
      <c r="G157" s="116" t="n">
        <v>0</v>
      </c>
      <c r="H157" s="116">
        <f>F157*AO157</f>
      </c>
      <c r="I157" s="116">
        <f>F157*AP157</f>
      </c>
      <c r="J157" s="116">
        <f>F157*G157</f>
      </c>
      <c r="K157" s="149" t="s">
        <v>159</v>
      </c>
      <c r="Z157" s="116">
        <f>IF(AQ157="5",BJ157,0)</f>
      </c>
      <c r="AB157" s="116">
        <f>IF(AQ157="1",BH157,0)</f>
      </c>
      <c r="AC157" s="116">
        <f>IF(AQ157="1",BI157,0)</f>
      </c>
      <c r="AD157" s="116">
        <f>IF(AQ157="7",BH157,0)</f>
      </c>
      <c r="AE157" s="116">
        <f>IF(AQ157="7",BI157,0)</f>
      </c>
      <c r="AF157" s="116">
        <f>IF(AQ157="2",BH157,0)</f>
      </c>
      <c r="AG157" s="116">
        <f>IF(AQ157="2",BI157,0)</f>
      </c>
      <c r="AH157" s="116">
        <f>IF(AQ157="0",BJ157,0)</f>
      </c>
      <c r="AI157" s="131" t="s">
        <v>103</v>
      </c>
      <c r="AJ157" s="116">
        <f>IF(AN157=0,J157,0)</f>
      </c>
      <c r="AK157" s="116">
        <f>IF(AN157=12,J157,0)</f>
      </c>
      <c r="AL157" s="116">
        <f>IF(AN157=21,J157,0)</f>
      </c>
      <c r="AN157" s="116" t="n">
        <v>21</v>
      </c>
      <c r="AO157" s="116">
        <f>G157*0</f>
      </c>
      <c r="AP157" s="116">
        <f>G157*(1-0)</f>
      </c>
      <c r="AQ157" s="150" t="s">
        <v>88</v>
      </c>
      <c r="AV157" s="116">
        <f>AW157+AX157</f>
      </c>
      <c r="AW157" s="116">
        <f>F157*AO157</f>
      </c>
      <c r="AX157" s="116">
        <f>F157*AP157</f>
      </c>
      <c r="AY157" s="150" t="s">
        <v>394</v>
      </c>
      <c r="AZ157" s="150" t="s">
        <v>287</v>
      </c>
      <c r="BA157" s="131" t="s">
        <v>288</v>
      </c>
      <c r="BC157" s="116">
        <f>AW157+AX157</f>
      </c>
      <c r="BD157" s="116">
        <f>G157/(100-BE157)*100</f>
      </c>
      <c r="BE157" s="116" t="n">
        <v>0</v>
      </c>
      <c r="BF157" s="116">
        <f>157</f>
      </c>
      <c r="BH157" s="116">
        <f>F157*AO157</f>
      </c>
      <c r="BI157" s="116">
        <f>F157*AP157</f>
      </c>
      <c r="BJ157" s="116">
        <f>F157*G157</f>
      </c>
      <c r="BK157" s="116"/>
      <c r="BL157" s="116" t="n">
        <v>16</v>
      </c>
      <c r="BW157" s="116" t="n">
        <v>21</v>
      </c>
      <c r="BX157" s="14" t="s">
        <v>401</v>
      </c>
    </row>
    <row r="158">
      <c r="A158" s="151"/>
      <c r="C158" s="152" t="s">
        <v>402</v>
      </c>
      <c r="D158" s="152" t="s">
        <v>290</v>
      </c>
      <c r="F158" s="153" t="n">
        <v>82.7684</v>
      </c>
      <c r="K158" s="154"/>
    </row>
    <row r="159">
      <c r="A159" s="151"/>
      <c r="C159" s="152" t="s">
        <v>403</v>
      </c>
      <c r="D159" s="152" t="s">
        <v>396</v>
      </c>
      <c r="F159" s="153" t="n">
        <v>83.96</v>
      </c>
      <c r="K159" s="154"/>
    </row>
    <row r="160">
      <c r="A160" s="151"/>
      <c r="C160" s="152" t="s">
        <v>404</v>
      </c>
      <c r="D160" s="152" t="s">
        <v>405</v>
      </c>
      <c r="F160" s="153" t="n">
        <v>104.304</v>
      </c>
      <c r="K160" s="154"/>
    </row>
    <row r="161">
      <c r="A161" s="151"/>
      <c r="C161" s="152" t="s">
        <v>91</v>
      </c>
      <c r="D161" s="152" t="s">
        <v>397</v>
      </c>
      <c r="F161" s="153" t="n">
        <v>3</v>
      </c>
      <c r="K161" s="154"/>
    </row>
    <row r="162">
      <c r="A162" s="144" t="s">
        <v>4</v>
      </c>
      <c r="B162" s="145" t="s">
        <v>269</v>
      </c>
      <c r="C162" s="146" t="s">
        <v>406</v>
      </c>
      <c r="D162" s="145"/>
      <c r="E162" s="147" t="s">
        <v>79</v>
      </c>
      <c r="F162" s="147" t="s">
        <v>79</v>
      </c>
      <c r="G162" s="147" t="s">
        <v>79</v>
      </c>
      <c r="H162" s="123">
        <f>SUM(H163:H176)</f>
      </c>
      <c r="I162" s="123">
        <f>SUM(I163:I176)</f>
      </c>
      <c r="J162" s="123">
        <f>SUM(J163:J176)</f>
      </c>
      <c r="K162" s="148" t="s">
        <v>4</v>
      </c>
      <c r="AI162" s="131" t="s">
        <v>103</v>
      </c>
      <c r="AS162" s="123">
        <f>SUM(AJ163:AJ176)</f>
      </c>
      <c r="AT162" s="123">
        <f>SUM(AK163:AK176)</f>
      </c>
      <c r="AU162" s="123">
        <f>SUM(AL163:AL176)</f>
      </c>
    </row>
    <row r="163">
      <c r="A163" s="9" t="s">
        <v>407</v>
      </c>
      <c r="B163" s="10" t="s">
        <v>408</v>
      </c>
      <c r="C163" s="14" t="s">
        <v>409</v>
      </c>
      <c r="D163" s="10"/>
      <c r="E163" s="10" t="s">
        <v>172</v>
      </c>
      <c r="F163" s="116" t="n">
        <v>274.0324</v>
      </c>
      <c r="G163" s="116" t="n">
        <v>0</v>
      </c>
      <c r="H163" s="116">
        <f>F163*AO163</f>
      </c>
      <c r="I163" s="116">
        <f>F163*AP163</f>
      </c>
      <c r="J163" s="116">
        <f>F163*G163</f>
      </c>
      <c r="K163" s="149" t="s">
        <v>159</v>
      </c>
      <c r="Z163" s="116">
        <f>IF(AQ163="5",BJ163,0)</f>
      </c>
      <c r="AB163" s="116">
        <f>IF(AQ163="1",BH163,0)</f>
      </c>
      <c r="AC163" s="116">
        <f>IF(AQ163="1",BI163,0)</f>
      </c>
      <c r="AD163" s="116">
        <f>IF(AQ163="7",BH163,0)</f>
      </c>
      <c r="AE163" s="116">
        <f>IF(AQ163="7",BI163,0)</f>
      </c>
      <c r="AF163" s="116">
        <f>IF(AQ163="2",BH163,0)</f>
      </c>
      <c r="AG163" s="116">
        <f>IF(AQ163="2",BI163,0)</f>
      </c>
      <c r="AH163" s="116">
        <f>IF(AQ163="0",BJ163,0)</f>
      </c>
      <c r="AI163" s="131" t="s">
        <v>103</v>
      </c>
      <c r="AJ163" s="116">
        <f>IF(AN163=0,J163,0)</f>
      </c>
      <c r="AK163" s="116">
        <f>IF(AN163=12,J163,0)</f>
      </c>
      <c r="AL163" s="116">
        <f>IF(AN163=21,J163,0)</f>
      </c>
      <c r="AN163" s="116" t="n">
        <v>21</v>
      </c>
      <c r="AO163" s="116">
        <f>G163*0</f>
      </c>
      <c r="AP163" s="116">
        <f>G163*(1-0)</f>
      </c>
      <c r="AQ163" s="150" t="s">
        <v>88</v>
      </c>
      <c r="AV163" s="116">
        <f>AW163+AX163</f>
      </c>
      <c r="AW163" s="116">
        <f>F163*AO163</f>
      </c>
      <c r="AX163" s="116">
        <f>F163*AP163</f>
      </c>
      <c r="AY163" s="150" t="s">
        <v>410</v>
      </c>
      <c r="AZ163" s="150" t="s">
        <v>287</v>
      </c>
      <c r="BA163" s="131" t="s">
        <v>288</v>
      </c>
      <c r="BC163" s="116">
        <f>AW163+AX163</f>
      </c>
      <c r="BD163" s="116">
        <f>G163/(100-BE163)*100</f>
      </c>
      <c r="BE163" s="116" t="n">
        <v>0</v>
      </c>
      <c r="BF163" s="116">
        <f>163</f>
      </c>
      <c r="BH163" s="116">
        <f>F163*AO163</f>
      </c>
      <c r="BI163" s="116">
        <f>F163*AP163</f>
      </c>
      <c r="BJ163" s="116">
        <f>F163*G163</f>
      </c>
      <c r="BK163" s="116"/>
      <c r="BL163" s="116" t="n">
        <v>17</v>
      </c>
      <c r="BW163" s="116" t="n">
        <v>21</v>
      </c>
      <c r="BX163" s="14" t="s">
        <v>409</v>
      </c>
    </row>
    <row r="164">
      <c r="A164" s="151"/>
      <c r="C164" s="152" t="s">
        <v>411</v>
      </c>
      <c r="D164" s="152" t="s">
        <v>4</v>
      </c>
      <c r="F164" s="153" t="n">
        <v>274.0324</v>
      </c>
      <c r="K164" s="154"/>
    </row>
    <row r="165">
      <c r="A165" s="151"/>
      <c r="B165" s="157" t="s">
        <v>177</v>
      </c>
      <c r="C165" s="155" t="s">
        <v>412</v>
      </c>
      <c r="D165" s="152"/>
      <c r="E165" s="152"/>
      <c r="F165" s="152"/>
      <c r="G165" s="152"/>
      <c r="H165" s="152"/>
      <c r="I165" s="152"/>
      <c r="J165" s="152"/>
      <c r="K165" s="156"/>
      <c r="BX165" s="155" t="s">
        <v>412</v>
      </c>
    </row>
    <row r="166">
      <c r="A166" s="9" t="s">
        <v>413</v>
      </c>
      <c r="B166" s="10" t="s">
        <v>414</v>
      </c>
      <c r="C166" s="14" t="s">
        <v>415</v>
      </c>
      <c r="D166" s="10"/>
      <c r="E166" s="10" t="s">
        <v>172</v>
      </c>
      <c r="F166" s="116" t="n">
        <v>21.375</v>
      </c>
      <c r="G166" s="116" t="n">
        <v>0</v>
      </c>
      <c r="H166" s="116">
        <f>F166*AO166</f>
      </c>
      <c r="I166" s="116">
        <f>F166*AP166</f>
      </c>
      <c r="J166" s="116">
        <f>F166*G166</f>
      </c>
      <c r="K166" s="149" t="s">
        <v>159</v>
      </c>
      <c r="Z166" s="116">
        <f>IF(AQ166="5",BJ166,0)</f>
      </c>
      <c r="AB166" s="116">
        <f>IF(AQ166="1",BH166,0)</f>
      </c>
      <c r="AC166" s="116">
        <f>IF(AQ166="1",BI166,0)</f>
      </c>
      <c r="AD166" s="116">
        <f>IF(AQ166="7",BH166,0)</f>
      </c>
      <c r="AE166" s="116">
        <f>IF(AQ166="7",BI166,0)</f>
      </c>
      <c r="AF166" s="116">
        <f>IF(AQ166="2",BH166,0)</f>
      </c>
      <c r="AG166" s="116">
        <f>IF(AQ166="2",BI166,0)</f>
      </c>
      <c r="AH166" s="116">
        <f>IF(AQ166="0",BJ166,0)</f>
      </c>
      <c r="AI166" s="131" t="s">
        <v>103</v>
      </c>
      <c r="AJ166" s="116">
        <f>IF(AN166=0,J166,0)</f>
      </c>
      <c r="AK166" s="116">
        <f>IF(AN166=12,J166,0)</f>
      </c>
      <c r="AL166" s="116">
        <f>IF(AN166=21,J166,0)</f>
      </c>
      <c r="AN166" s="116" t="n">
        <v>21</v>
      </c>
      <c r="AO166" s="116">
        <f>G166*0</f>
      </c>
      <c r="AP166" s="116">
        <f>G166*(1-0)</f>
      </c>
      <c r="AQ166" s="150" t="s">
        <v>88</v>
      </c>
      <c r="AV166" s="116">
        <f>AW166+AX166</f>
      </c>
      <c r="AW166" s="116">
        <f>F166*AO166</f>
      </c>
      <c r="AX166" s="116">
        <f>F166*AP166</f>
      </c>
      <c r="AY166" s="150" t="s">
        <v>410</v>
      </c>
      <c r="AZ166" s="150" t="s">
        <v>287</v>
      </c>
      <c r="BA166" s="131" t="s">
        <v>288</v>
      </c>
      <c r="BC166" s="116">
        <f>AW166+AX166</f>
      </c>
      <c r="BD166" s="116">
        <f>G166/(100-BE166)*100</f>
      </c>
      <c r="BE166" s="116" t="n">
        <v>0</v>
      </c>
      <c r="BF166" s="116">
        <f>166</f>
      </c>
      <c r="BH166" s="116">
        <f>F166*AO166</f>
      </c>
      <c r="BI166" s="116">
        <f>F166*AP166</f>
      </c>
      <c r="BJ166" s="116">
        <f>F166*G166</f>
      </c>
      <c r="BK166" s="116"/>
      <c r="BL166" s="116" t="n">
        <v>17</v>
      </c>
      <c r="BW166" s="116" t="n">
        <v>21</v>
      </c>
      <c r="BX166" s="14" t="s">
        <v>415</v>
      </c>
    </row>
    <row r="167" customHeight="true" ht="13.5">
      <c r="A167" s="151"/>
      <c r="C167" s="155" t="s">
        <v>416</v>
      </c>
      <c r="D167" s="152"/>
      <c r="E167" s="152"/>
      <c r="F167" s="152"/>
      <c r="G167" s="152"/>
      <c r="H167" s="152"/>
      <c r="I167" s="152"/>
      <c r="J167" s="152"/>
      <c r="K167" s="156"/>
    </row>
    <row r="168">
      <c r="A168" s="151"/>
      <c r="C168" s="152" t="s">
        <v>417</v>
      </c>
      <c r="D168" s="152" t="s">
        <v>4</v>
      </c>
      <c r="F168" s="153" t="n">
        <v>21.375</v>
      </c>
      <c r="K168" s="154"/>
    </row>
    <row r="169">
      <c r="A169" s="9" t="s">
        <v>418</v>
      </c>
      <c r="B169" s="10" t="s">
        <v>419</v>
      </c>
      <c r="C169" s="14" t="s">
        <v>420</v>
      </c>
      <c r="D169" s="10"/>
      <c r="E169" s="10" t="s">
        <v>172</v>
      </c>
      <c r="F169" s="116" t="n">
        <v>73.1374</v>
      </c>
      <c r="G169" s="116" t="n">
        <v>0</v>
      </c>
      <c r="H169" s="116">
        <f>F169*AO169</f>
      </c>
      <c r="I169" s="116">
        <f>F169*AP169</f>
      </c>
      <c r="J169" s="116">
        <f>F169*G169</f>
      </c>
      <c r="K169" s="149" t="s">
        <v>159</v>
      </c>
      <c r="Z169" s="116">
        <f>IF(AQ169="5",BJ169,0)</f>
      </c>
      <c r="AB169" s="116">
        <f>IF(AQ169="1",BH169,0)</f>
      </c>
      <c r="AC169" s="116">
        <f>IF(AQ169="1",BI169,0)</f>
      </c>
      <c r="AD169" s="116">
        <f>IF(AQ169="7",BH169,0)</f>
      </c>
      <c r="AE169" s="116">
        <f>IF(AQ169="7",BI169,0)</f>
      </c>
      <c r="AF169" s="116">
        <f>IF(AQ169="2",BH169,0)</f>
      </c>
      <c r="AG169" s="116">
        <f>IF(AQ169="2",BI169,0)</f>
      </c>
      <c r="AH169" s="116">
        <f>IF(AQ169="0",BJ169,0)</f>
      </c>
      <c r="AI169" s="131" t="s">
        <v>103</v>
      </c>
      <c r="AJ169" s="116">
        <f>IF(AN169=0,J169,0)</f>
      </c>
      <c r="AK169" s="116">
        <f>IF(AN169=12,J169,0)</f>
      </c>
      <c r="AL169" s="116">
        <f>IF(AN169=21,J169,0)</f>
      </c>
      <c r="AN169" s="116" t="n">
        <v>21</v>
      </c>
      <c r="AO169" s="116">
        <f>G169*0.516760462</f>
      </c>
      <c r="AP169" s="116">
        <f>G169*(1-0.516760462)</f>
      </c>
      <c r="AQ169" s="150" t="s">
        <v>88</v>
      </c>
      <c r="AV169" s="116">
        <f>AW169+AX169</f>
      </c>
      <c r="AW169" s="116">
        <f>F169*AO169</f>
      </c>
      <c r="AX169" s="116">
        <f>F169*AP169</f>
      </c>
      <c r="AY169" s="150" t="s">
        <v>410</v>
      </c>
      <c r="AZ169" s="150" t="s">
        <v>287</v>
      </c>
      <c r="BA169" s="131" t="s">
        <v>288</v>
      </c>
      <c r="BC169" s="116">
        <f>AW169+AX169</f>
      </c>
      <c r="BD169" s="116">
        <f>G169/(100-BE169)*100</f>
      </c>
      <c r="BE169" s="116" t="n">
        <v>0</v>
      </c>
      <c r="BF169" s="116">
        <f>169</f>
      </c>
      <c r="BH169" s="116">
        <f>F169*AO169</f>
      </c>
      <c r="BI169" s="116">
        <f>F169*AP169</f>
      </c>
      <c r="BJ169" s="116">
        <f>F169*G169</f>
      </c>
      <c r="BK169" s="116"/>
      <c r="BL169" s="116" t="n">
        <v>17</v>
      </c>
      <c r="BW169" s="116" t="n">
        <v>21</v>
      </c>
      <c r="BX169" s="14" t="s">
        <v>420</v>
      </c>
    </row>
    <row r="170" customHeight="true" ht="13.5">
      <c r="A170" s="151"/>
      <c r="C170" s="155" t="s">
        <v>421</v>
      </c>
      <c r="D170" s="152"/>
      <c r="E170" s="152"/>
      <c r="F170" s="152"/>
      <c r="G170" s="152"/>
      <c r="H170" s="152"/>
      <c r="I170" s="152"/>
      <c r="J170" s="152"/>
      <c r="K170" s="156"/>
    </row>
    <row r="171">
      <c r="A171" s="151"/>
      <c r="C171" s="152" t="s">
        <v>422</v>
      </c>
      <c r="D171" s="152" t="s">
        <v>320</v>
      </c>
      <c r="F171" s="153" t="n">
        <v>9.52</v>
      </c>
      <c r="K171" s="154"/>
    </row>
    <row r="172">
      <c r="A172" s="151"/>
      <c r="C172" s="152" t="s">
        <v>423</v>
      </c>
      <c r="D172" s="152" t="s">
        <v>424</v>
      </c>
      <c r="F172" s="153" t="n">
        <v>63.6174</v>
      </c>
      <c r="K172" s="154"/>
    </row>
    <row r="173">
      <c r="A173" s="9" t="s">
        <v>425</v>
      </c>
      <c r="B173" s="10" t="s">
        <v>426</v>
      </c>
      <c r="C173" s="14" t="s">
        <v>427</v>
      </c>
      <c r="D173" s="10"/>
      <c r="E173" s="10" t="s">
        <v>172</v>
      </c>
      <c r="F173" s="116" t="n">
        <v>53.136</v>
      </c>
      <c r="G173" s="116" t="n">
        <v>0</v>
      </c>
      <c r="H173" s="116">
        <f>F173*AO173</f>
      </c>
      <c r="I173" s="116">
        <f>F173*AP173</f>
      </c>
      <c r="J173" s="116">
        <f>F173*G173</f>
      </c>
      <c r="K173" s="149" t="s">
        <v>159</v>
      </c>
      <c r="Z173" s="116">
        <f>IF(AQ173="5",BJ173,0)</f>
      </c>
      <c r="AB173" s="116">
        <f>IF(AQ173="1",BH173,0)</f>
      </c>
      <c r="AC173" s="116">
        <f>IF(AQ173="1",BI173,0)</f>
      </c>
      <c r="AD173" s="116">
        <f>IF(AQ173="7",BH173,0)</f>
      </c>
      <c r="AE173" s="116">
        <f>IF(AQ173="7",BI173,0)</f>
      </c>
      <c r="AF173" s="116">
        <f>IF(AQ173="2",BH173,0)</f>
      </c>
      <c r="AG173" s="116">
        <f>IF(AQ173="2",BI173,0)</f>
      </c>
      <c r="AH173" s="116">
        <f>IF(AQ173="0",BJ173,0)</f>
      </c>
      <c r="AI173" s="131" t="s">
        <v>103</v>
      </c>
      <c r="AJ173" s="116">
        <f>IF(AN173=0,J173,0)</f>
      </c>
      <c r="AK173" s="116">
        <f>IF(AN173=12,J173,0)</f>
      </c>
      <c r="AL173" s="116">
        <f>IF(AN173=21,J173,0)</f>
      </c>
      <c r="AN173" s="116" t="n">
        <v>21</v>
      </c>
      <c r="AO173" s="116">
        <f>G173*0.306482462</f>
      </c>
      <c r="AP173" s="116">
        <f>G173*(1-0.306482462)</f>
      </c>
      <c r="AQ173" s="150" t="s">
        <v>88</v>
      </c>
      <c r="AV173" s="116">
        <f>AW173+AX173</f>
      </c>
      <c r="AW173" s="116">
        <f>F173*AO173</f>
      </c>
      <c r="AX173" s="116">
        <f>F173*AP173</f>
      </c>
      <c r="AY173" s="150" t="s">
        <v>410</v>
      </c>
      <c r="AZ173" s="150" t="s">
        <v>287</v>
      </c>
      <c r="BA173" s="131" t="s">
        <v>288</v>
      </c>
      <c r="BC173" s="116">
        <f>AW173+AX173</f>
      </c>
      <c r="BD173" s="116">
        <f>G173/(100-BE173)*100</f>
      </c>
      <c r="BE173" s="116" t="n">
        <v>0</v>
      </c>
      <c r="BF173" s="116">
        <f>173</f>
      </c>
      <c r="BH173" s="116">
        <f>F173*AO173</f>
      </c>
      <c r="BI173" s="116">
        <f>F173*AP173</f>
      </c>
      <c r="BJ173" s="116">
        <f>F173*G173</f>
      </c>
      <c r="BK173" s="116"/>
      <c r="BL173" s="116" t="n">
        <v>17</v>
      </c>
      <c r="BW173" s="116" t="n">
        <v>21</v>
      </c>
      <c r="BX173" s="14" t="s">
        <v>427</v>
      </c>
    </row>
    <row r="174" customHeight="true" ht="13.5">
      <c r="A174" s="151"/>
      <c r="C174" s="155" t="s">
        <v>428</v>
      </c>
      <c r="D174" s="152"/>
      <c r="E174" s="152"/>
      <c r="F174" s="152"/>
      <c r="G174" s="152"/>
      <c r="H174" s="152"/>
      <c r="I174" s="152"/>
      <c r="J174" s="152"/>
      <c r="K174" s="156"/>
    </row>
    <row r="175">
      <c r="A175" s="151"/>
      <c r="C175" s="152" t="s">
        <v>429</v>
      </c>
      <c r="D175" s="152" t="s">
        <v>405</v>
      </c>
      <c r="F175" s="153" t="n">
        <v>53.136</v>
      </c>
      <c r="K175" s="154"/>
    </row>
    <row r="176">
      <c r="A176" s="9" t="s">
        <v>430</v>
      </c>
      <c r="B176" s="10" t="s">
        <v>431</v>
      </c>
      <c r="C176" s="14" t="s">
        <v>432</v>
      </c>
      <c r="D176" s="10"/>
      <c r="E176" s="10" t="s">
        <v>172</v>
      </c>
      <c r="F176" s="116" t="n">
        <v>45.45</v>
      </c>
      <c r="G176" s="116" t="n">
        <v>0</v>
      </c>
      <c r="H176" s="116">
        <f>F176*AO176</f>
      </c>
      <c r="I176" s="116">
        <f>F176*AP176</f>
      </c>
      <c r="J176" s="116">
        <f>F176*G176</f>
      </c>
      <c r="K176" s="149" t="s">
        <v>159</v>
      </c>
      <c r="Z176" s="116">
        <f>IF(AQ176="5",BJ176,0)</f>
      </c>
      <c r="AB176" s="116">
        <f>IF(AQ176="1",BH176,0)</f>
      </c>
      <c r="AC176" s="116">
        <f>IF(AQ176="1",BI176,0)</f>
      </c>
      <c r="AD176" s="116">
        <f>IF(AQ176="7",BH176,0)</f>
      </c>
      <c r="AE176" s="116">
        <f>IF(AQ176="7",BI176,0)</f>
      </c>
      <c r="AF176" s="116">
        <f>IF(AQ176="2",BH176,0)</f>
      </c>
      <c r="AG176" s="116">
        <f>IF(AQ176="2",BI176,0)</f>
      </c>
      <c r="AH176" s="116">
        <f>IF(AQ176="0",BJ176,0)</f>
      </c>
      <c r="AI176" s="131" t="s">
        <v>103</v>
      </c>
      <c r="AJ176" s="116">
        <f>IF(AN176=0,J176,0)</f>
      </c>
      <c r="AK176" s="116">
        <f>IF(AN176=12,J176,0)</f>
      </c>
      <c r="AL176" s="116">
        <f>IF(AN176=21,J176,0)</f>
      </c>
      <c r="AN176" s="116" t="n">
        <v>21</v>
      </c>
      <c r="AO176" s="116">
        <f>G176*0.51297568</f>
      </c>
      <c r="AP176" s="116">
        <f>G176*(1-0.51297568)</f>
      </c>
      <c r="AQ176" s="150" t="s">
        <v>88</v>
      </c>
      <c r="AV176" s="116">
        <f>AW176+AX176</f>
      </c>
      <c r="AW176" s="116">
        <f>F176*AO176</f>
      </c>
      <c r="AX176" s="116">
        <f>F176*AP176</f>
      </c>
      <c r="AY176" s="150" t="s">
        <v>410</v>
      </c>
      <c r="AZ176" s="150" t="s">
        <v>287</v>
      </c>
      <c r="BA176" s="131" t="s">
        <v>288</v>
      </c>
      <c r="BC176" s="116">
        <f>AW176+AX176</f>
      </c>
      <c r="BD176" s="116">
        <f>G176/(100-BE176)*100</f>
      </c>
      <c r="BE176" s="116" t="n">
        <v>0</v>
      </c>
      <c r="BF176" s="116">
        <f>176</f>
      </c>
      <c r="BH176" s="116">
        <f>F176*AO176</f>
      </c>
      <c r="BI176" s="116">
        <f>F176*AP176</f>
      </c>
      <c r="BJ176" s="116">
        <f>F176*G176</f>
      </c>
      <c r="BK176" s="116"/>
      <c r="BL176" s="116" t="n">
        <v>17</v>
      </c>
      <c r="BW176" s="116" t="n">
        <v>21</v>
      </c>
      <c r="BX176" s="14" t="s">
        <v>432</v>
      </c>
    </row>
    <row r="177" customHeight="true" ht="13.5">
      <c r="A177" s="151"/>
      <c r="C177" s="155" t="s">
        <v>433</v>
      </c>
      <c r="D177" s="152"/>
      <c r="E177" s="152"/>
      <c r="F177" s="152"/>
      <c r="G177" s="152"/>
      <c r="H177" s="152"/>
      <c r="I177" s="152"/>
      <c r="J177" s="152"/>
      <c r="K177" s="156"/>
    </row>
    <row r="178">
      <c r="A178" s="151"/>
      <c r="C178" s="152" t="s">
        <v>434</v>
      </c>
      <c r="D178" s="152" t="s">
        <v>320</v>
      </c>
      <c r="F178" s="153" t="n">
        <v>45.45</v>
      </c>
      <c r="K178" s="154"/>
    </row>
    <row r="179">
      <c r="A179" s="151"/>
      <c r="B179" s="157" t="s">
        <v>177</v>
      </c>
      <c r="C179" s="155" t="s">
        <v>435</v>
      </c>
      <c r="D179" s="152"/>
      <c r="E179" s="152"/>
      <c r="F179" s="152"/>
      <c r="G179" s="152"/>
      <c r="H179" s="152"/>
      <c r="I179" s="152"/>
      <c r="J179" s="152"/>
      <c r="K179" s="156"/>
      <c r="BX179" s="155" t="s">
        <v>435</v>
      </c>
    </row>
    <row r="180">
      <c r="A180" s="144" t="s">
        <v>4</v>
      </c>
      <c r="B180" s="145" t="s">
        <v>179</v>
      </c>
      <c r="C180" s="146" t="s">
        <v>180</v>
      </c>
      <c r="D180" s="145"/>
      <c r="E180" s="147" t="s">
        <v>79</v>
      </c>
      <c r="F180" s="147" t="s">
        <v>79</v>
      </c>
      <c r="G180" s="147" t="s">
        <v>79</v>
      </c>
      <c r="H180" s="123">
        <f>SUM(H181:H181)</f>
      </c>
      <c r="I180" s="123">
        <f>SUM(I181:I181)</f>
      </c>
      <c r="J180" s="123">
        <f>SUM(J181:J181)</f>
      </c>
      <c r="K180" s="148" t="s">
        <v>4</v>
      </c>
      <c r="AI180" s="131" t="s">
        <v>103</v>
      </c>
      <c r="AS180" s="123">
        <f>SUM(AJ181:AJ181)</f>
      </c>
      <c r="AT180" s="123">
        <f>SUM(AK181:AK181)</f>
      </c>
      <c r="AU180" s="123">
        <f>SUM(AL181:AL181)</f>
      </c>
    </row>
    <row r="181">
      <c r="A181" s="9" t="s">
        <v>436</v>
      </c>
      <c r="B181" s="10" t="s">
        <v>437</v>
      </c>
      <c r="C181" s="14" t="s">
        <v>438</v>
      </c>
      <c r="D181" s="10"/>
      <c r="E181" s="10" t="s">
        <v>158</v>
      </c>
      <c r="F181" s="116" t="n">
        <v>85.5</v>
      </c>
      <c r="G181" s="116" t="n">
        <v>0</v>
      </c>
      <c r="H181" s="116">
        <f>F181*AO181</f>
      </c>
      <c r="I181" s="116">
        <f>F181*AP181</f>
      </c>
      <c r="J181" s="116">
        <f>F181*G181</f>
      </c>
      <c r="K181" s="149" t="s">
        <v>159</v>
      </c>
      <c r="Z181" s="116">
        <f>IF(AQ181="5",BJ181,0)</f>
      </c>
      <c r="AB181" s="116">
        <f>IF(AQ181="1",BH181,0)</f>
      </c>
      <c r="AC181" s="116">
        <f>IF(AQ181="1",BI181,0)</f>
      </c>
      <c r="AD181" s="116">
        <f>IF(AQ181="7",BH181,0)</f>
      </c>
      <c r="AE181" s="116">
        <f>IF(AQ181="7",BI181,0)</f>
      </c>
      <c r="AF181" s="116">
        <f>IF(AQ181="2",BH181,0)</f>
      </c>
      <c r="AG181" s="116">
        <f>IF(AQ181="2",BI181,0)</f>
      </c>
      <c r="AH181" s="116">
        <f>IF(AQ181="0",BJ181,0)</f>
      </c>
      <c r="AI181" s="131" t="s">
        <v>103</v>
      </c>
      <c r="AJ181" s="116">
        <f>IF(AN181=0,J181,0)</f>
      </c>
      <c r="AK181" s="116">
        <f>IF(AN181=12,J181,0)</f>
      </c>
      <c r="AL181" s="116">
        <f>IF(AN181=21,J181,0)</f>
      </c>
      <c r="AN181" s="116" t="n">
        <v>21</v>
      </c>
      <c r="AO181" s="116">
        <f>G181*0</f>
      </c>
      <c r="AP181" s="116">
        <f>G181*(1-0)</f>
      </c>
      <c r="AQ181" s="150" t="s">
        <v>88</v>
      </c>
      <c r="AV181" s="116">
        <f>AW181+AX181</f>
      </c>
      <c r="AW181" s="116">
        <f>F181*AO181</f>
      </c>
      <c r="AX181" s="116">
        <f>F181*AP181</f>
      </c>
      <c r="AY181" s="150" t="s">
        <v>183</v>
      </c>
      <c r="AZ181" s="150" t="s">
        <v>287</v>
      </c>
      <c r="BA181" s="131" t="s">
        <v>288</v>
      </c>
      <c r="BC181" s="116">
        <f>AW181+AX181</f>
      </c>
      <c r="BD181" s="116">
        <f>G181/(100-BE181)*100</f>
      </c>
      <c r="BE181" s="116" t="n">
        <v>0</v>
      </c>
      <c r="BF181" s="116">
        <f>181</f>
      </c>
      <c r="BH181" s="116">
        <f>F181*AO181</f>
      </c>
      <c r="BI181" s="116">
        <f>F181*AP181</f>
      </c>
      <c r="BJ181" s="116">
        <f>F181*G181</f>
      </c>
      <c r="BK181" s="116"/>
      <c r="BL181" s="116" t="n">
        <v>18</v>
      </c>
      <c r="BW181" s="116" t="n">
        <v>21</v>
      </c>
      <c r="BX181" s="14" t="s">
        <v>438</v>
      </c>
    </row>
    <row r="182">
      <c r="A182" s="151"/>
      <c r="C182" s="152" t="s">
        <v>439</v>
      </c>
      <c r="D182" s="152" t="s">
        <v>440</v>
      </c>
      <c r="F182" s="153" t="n">
        <v>85.5</v>
      </c>
      <c r="K182" s="154"/>
    </row>
    <row r="183">
      <c r="A183" s="144" t="s">
        <v>4</v>
      </c>
      <c r="B183" s="145" t="s">
        <v>281</v>
      </c>
      <c r="C183" s="146" t="s">
        <v>441</v>
      </c>
      <c r="D183" s="145"/>
      <c r="E183" s="147" t="s">
        <v>79</v>
      </c>
      <c r="F183" s="147" t="s">
        <v>79</v>
      </c>
      <c r="G183" s="147" t="s">
        <v>79</v>
      </c>
      <c r="H183" s="123">
        <f>SUM(H184:H184)</f>
      </c>
      <c r="I183" s="123">
        <f>SUM(I184:I184)</f>
      </c>
      <c r="J183" s="123">
        <f>SUM(J184:J184)</f>
      </c>
      <c r="K183" s="148" t="s">
        <v>4</v>
      </c>
      <c r="AI183" s="131" t="s">
        <v>103</v>
      </c>
      <c r="AS183" s="123">
        <f>SUM(AJ184:AJ184)</f>
      </c>
      <c r="AT183" s="123">
        <f>SUM(AK184:AK184)</f>
      </c>
      <c r="AU183" s="123">
        <f>SUM(AL184:AL184)</f>
      </c>
    </row>
    <row r="184">
      <c r="A184" s="9" t="s">
        <v>442</v>
      </c>
      <c r="B184" s="10" t="s">
        <v>443</v>
      </c>
      <c r="C184" s="14" t="s">
        <v>444</v>
      </c>
      <c r="D184" s="10"/>
      <c r="E184" s="10" t="s">
        <v>172</v>
      </c>
      <c r="F184" s="116" t="n">
        <v>277.0324</v>
      </c>
      <c r="G184" s="116" t="n">
        <v>0</v>
      </c>
      <c r="H184" s="116">
        <f>F184*AO184</f>
      </c>
      <c r="I184" s="116">
        <f>F184*AP184</f>
      </c>
      <c r="J184" s="116">
        <f>F184*G184</f>
      </c>
      <c r="K184" s="149" t="s">
        <v>159</v>
      </c>
      <c r="Z184" s="116">
        <f>IF(AQ184="5",BJ184,0)</f>
      </c>
      <c r="AB184" s="116">
        <f>IF(AQ184="1",BH184,0)</f>
      </c>
      <c r="AC184" s="116">
        <f>IF(AQ184="1",BI184,0)</f>
      </c>
      <c r="AD184" s="116">
        <f>IF(AQ184="7",BH184,0)</f>
      </c>
      <c r="AE184" s="116">
        <f>IF(AQ184="7",BI184,0)</f>
      </c>
      <c r="AF184" s="116">
        <f>IF(AQ184="2",BH184,0)</f>
      </c>
      <c r="AG184" s="116">
        <f>IF(AQ184="2",BI184,0)</f>
      </c>
      <c r="AH184" s="116">
        <f>IF(AQ184="0",BJ184,0)</f>
      </c>
      <c r="AI184" s="131" t="s">
        <v>103</v>
      </c>
      <c r="AJ184" s="116">
        <f>IF(AN184=0,J184,0)</f>
      </c>
      <c r="AK184" s="116">
        <f>IF(AN184=12,J184,0)</f>
      </c>
      <c r="AL184" s="116">
        <f>IF(AN184=21,J184,0)</f>
      </c>
      <c r="AN184" s="116" t="n">
        <v>21</v>
      </c>
      <c r="AO184" s="116">
        <f>G184*0</f>
      </c>
      <c r="AP184" s="116">
        <f>G184*(1-0)</f>
      </c>
      <c r="AQ184" s="150" t="s">
        <v>88</v>
      </c>
      <c r="AV184" s="116">
        <f>AW184+AX184</f>
      </c>
      <c r="AW184" s="116">
        <f>F184*AO184</f>
      </c>
      <c r="AX184" s="116">
        <f>F184*AP184</f>
      </c>
      <c r="AY184" s="150" t="s">
        <v>445</v>
      </c>
      <c r="AZ184" s="150" t="s">
        <v>287</v>
      </c>
      <c r="BA184" s="131" t="s">
        <v>288</v>
      </c>
      <c r="BC184" s="116">
        <f>AW184+AX184</f>
      </c>
      <c r="BD184" s="116">
        <f>G184/(100-BE184)*100</f>
      </c>
      <c r="BE184" s="116" t="n">
        <v>0</v>
      </c>
      <c r="BF184" s="116">
        <f>184</f>
      </c>
      <c r="BH184" s="116">
        <f>F184*AO184</f>
      </c>
      <c r="BI184" s="116">
        <f>F184*AP184</f>
      </c>
      <c r="BJ184" s="116">
        <f>F184*G184</f>
      </c>
      <c r="BK184" s="116"/>
      <c r="BL184" s="116" t="n">
        <v>19</v>
      </c>
      <c r="BW184" s="116" t="n">
        <v>21</v>
      </c>
      <c r="BX184" s="14" t="s">
        <v>444</v>
      </c>
    </row>
    <row r="185">
      <c r="A185" s="151"/>
      <c r="C185" s="152" t="s">
        <v>446</v>
      </c>
      <c r="D185" s="152" t="s">
        <v>4</v>
      </c>
      <c r="F185" s="153" t="n">
        <v>277.0324</v>
      </c>
      <c r="K185" s="154"/>
    </row>
    <row r="186">
      <c r="A186" s="144" t="s">
        <v>4</v>
      </c>
      <c r="B186" s="145" t="s">
        <v>293</v>
      </c>
      <c r="C186" s="146" t="s">
        <v>447</v>
      </c>
      <c r="D186" s="145"/>
      <c r="E186" s="147" t="s">
        <v>79</v>
      </c>
      <c r="F186" s="147" t="s">
        <v>79</v>
      </c>
      <c r="G186" s="147" t="s">
        <v>79</v>
      </c>
      <c r="H186" s="123">
        <f>SUM(H187:H190)</f>
      </c>
      <c r="I186" s="123">
        <f>SUM(I187:I190)</f>
      </c>
      <c r="J186" s="123">
        <f>SUM(J187:J190)</f>
      </c>
      <c r="K186" s="148" t="s">
        <v>4</v>
      </c>
      <c r="AI186" s="131" t="s">
        <v>103</v>
      </c>
      <c r="AS186" s="123">
        <f>SUM(AJ187:AJ190)</f>
      </c>
      <c r="AT186" s="123">
        <f>SUM(AK187:AK190)</f>
      </c>
      <c r="AU186" s="123">
        <f>SUM(AL187:AL190)</f>
      </c>
    </row>
    <row r="187">
      <c r="A187" s="9" t="s">
        <v>448</v>
      </c>
      <c r="B187" s="10" t="s">
        <v>449</v>
      </c>
      <c r="C187" s="14" t="s">
        <v>450</v>
      </c>
      <c r="D187" s="10"/>
      <c r="E187" s="10" t="s">
        <v>216</v>
      </c>
      <c r="F187" s="116" t="n">
        <v>96</v>
      </c>
      <c r="G187" s="116" t="n">
        <v>0</v>
      </c>
      <c r="H187" s="116">
        <f>F187*AO187</f>
      </c>
      <c r="I187" s="116">
        <f>F187*AP187</f>
      </c>
      <c r="J187" s="116">
        <f>F187*G187</f>
      </c>
      <c r="K187" s="149" t="s">
        <v>159</v>
      </c>
      <c r="Z187" s="116">
        <f>IF(AQ187="5",BJ187,0)</f>
      </c>
      <c r="AB187" s="116">
        <f>IF(AQ187="1",BH187,0)</f>
      </c>
      <c r="AC187" s="116">
        <f>IF(AQ187="1",BI187,0)</f>
      </c>
      <c r="AD187" s="116">
        <f>IF(AQ187="7",BH187,0)</f>
      </c>
      <c r="AE187" s="116">
        <f>IF(AQ187="7",BI187,0)</f>
      </c>
      <c r="AF187" s="116">
        <f>IF(AQ187="2",BH187,0)</f>
      </c>
      <c r="AG187" s="116">
        <f>IF(AQ187="2",BI187,0)</f>
      </c>
      <c r="AH187" s="116">
        <f>IF(AQ187="0",BJ187,0)</f>
      </c>
      <c r="AI187" s="131" t="s">
        <v>103</v>
      </c>
      <c r="AJ187" s="116">
        <f>IF(AN187=0,J187,0)</f>
      </c>
      <c r="AK187" s="116">
        <f>IF(AN187=12,J187,0)</f>
      </c>
      <c r="AL187" s="116">
        <f>IF(AN187=21,J187,0)</f>
      </c>
      <c r="AN187" s="116" t="n">
        <v>21</v>
      </c>
      <c r="AO187" s="116">
        <f>G187*0.446326141</f>
      </c>
      <c r="AP187" s="116">
        <f>G187*(1-0.446326141)</f>
      </c>
      <c r="AQ187" s="150" t="s">
        <v>88</v>
      </c>
      <c r="AV187" s="116">
        <f>AW187+AX187</f>
      </c>
      <c r="AW187" s="116">
        <f>F187*AO187</f>
      </c>
      <c r="AX187" s="116">
        <f>F187*AP187</f>
      </c>
      <c r="AY187" s="150" t="s">
        <v>451</v>
      </c>
      <c r="AZ187" s="150" t="s">
        <v>452</v>
      </c>
      <c r="BA187" s="131" t="s">
        <v>288</v>
      </c>
      <c r="BC187" s="116">
        <f>AW187+AX187</f>
      </c>
      <c r="BD187" s="116">
        <f>G187/(100-BE187)*100</f>
      </c>
      <c r="BE187" s="116" t="n">
        <v>0</v>
      </c>
      <c r="BF187" s="116">
        <f>187</f>
      </c>
      <c r="BH187" s="116">
        <f>F187*AO187</f>
      </c>
      <c r="BI187" s="116">
        <f>F187*AP187</f>
      </c>
      <c r="BJ187" s="116">
        <f>F187*G187</f>
      </c>
      <c r="BK187" s="116"/>
      <c r="BL187" s="116" t="n">
        <v>21</v>
      </c>
      <c r="BW187" s="116" t="n">
        <v>21</v>
      </c>
      <c r="BX187" s="14" t="s">
        <v>450</v>
      </c>
    </row>
    <row r="188" customHeight="true" ht="13.5">
      <c r="A188" s="151"/>
      <c r="C188" s="155" t="s">
        <v>453</v>
      </c>
      <c r="D188" s="152"/>
      <c r="E188" s="152"/>
      <c r="F188" s="152"/>
      <c r="G188" s="152"/>
      <c r="H188" s="152"/>
      <c r="I188" s="152"/>
      <c r="J188" s="152"/>
      <c r="K188" s="156"/>
    </row>
    <row r="189">
      <c r="A189" s="151"/>
      <c r="C189" s="152" t="s">
        <v>454</v>
      </c>
      <c r="D189" s="152" t="s">
        <v>320</v>
      </c>
      <c r="F189" s="153" t="n">
        <v>96</v>
      </c>
      <c r="K189" s="154"/>
    </row>
    <row r="190">
      <c r="A190" s="9" t="s">
        <v>455</v>
      </c>
      <c r="B190" s="10" t="s">
        <v>456</v>
      </c>
      <c r="C190" s="14" t="s">
        <v>457</v>
      </c>
      <c r="D190" s="10"/>
      <c r="E190" s="10" t="s">
        <v>158</v>
      </c>
      <c r="F190" s="116" t="n">
        <v>150</v>
      </c>
      <c r="G190" s="116" t="n">
        <v>0</v>
      </c>
      <c r="H190" s="116">
        <f>F190*AO190</f>
      </c>
      <c r="I190" s="116">
        <f>F190*AP190</f>
      </c>
      <c r="J190" s="116">
        <f>F190*G190</f>
      </c>
      <c r="K190" s="149" t="s">
        <v>159</v>
      </c>
      <c r="Z190" s="116">
        <f>IF(AQ190="5",BJ190,0)</f>
      </c>
      <c r="AB190" s="116">
        <f>IF(AQ190="1",BH190,0)</f>
      </c>
      <c r="AC190" s="116">
        <f>IF(AQ190="1",BI190,0)</f>
      </c>
      <c r="AD190" s="116">
        <f>IF(AQ190="7",BH190,0)</f>
      </c>
      <c r="AE190" s="116">
        <f>IF(AQ190="7",BI190,0)</f>
      </c>
      <c r="AF190" s="116">
        <f>IF(AQ190="2",BH190,0)</f>
      </c>
      <c r="AG190" s="116">
        <f>IF(AQ190="2",BI190,0)</f>
      </c>
      <c r="AH190" s="116">
        <f>IF(AQ190="0",BJ190,0)</f>
      </c>
      <c r="AI190" s="131" t="s">
        <v>103</v>
      </c>
      <c r="AJ190" s="116">
        <f>IF(AN190=0,J190,0)</f>
      </c>
      <c r="AK190" s="116">
        <f>IF(AN190=12,J190,0)</f>
      </c>
      <c r="AL190" s="116">
        <f>IF(AN190=21,J190,0)</f>
      </c>
      <c r="AN190" s="116" t="n">
        <v>21</v>
      </c>
      <c r="AO190" s="116">
        <f>G190*0.24647651</f>
      </c>
      <c r="AP190" s="116">
        <f>G190*(1-0.24647651)</f>
      </c>
      <c r="AQ190" s="150" t="s">
        <v>88</v>
      </c>
      <c r="AV190" s="116">
        <f>AW190+AX190</f>
      </c>
      <c r="AW190" s="116">
        <f>F190*AO190</f>
      </c>
      <c r="AX190" s="116">
        <f>F190*AP190</f>
      </c>
      <c r="AY190" s="150" t="s">
        <v>451</v>
      </c>
      <c r="AZ190" s="150" t="s">
        <v>452</v>
      </c>
      <c r="BA190" s="131" t="s">
        <v>288</v>
      </c>
      <c r="BC190" s="116">
        <f>AW190+AX190</f>
      </c>
      <c r="BD190" s="116">
        <f>G190/(100-BE190)*100</f>
      </c>
      <c r="BE190" s="116" t="n">
        <v>0</v>
      </c>
      <c r="BF190" s="116">
        <f>190</f>
      </c>
      <c r="BH190" s="116">
        <f>F190*AO190</f>
      </c>
      <c r="BI190" s="116">
        <f>F190*AP190</f>
      </c>
      <c r="BJ190" s="116">
        <f>F190*G190</f>
      </c>
      <c r="BK190" s="116"/>
      <c r="BL190" s="116" t="n">
        <v>21</v>
      </c>
      <c r="BW190" s="116" t="n">
        <v>21</v>
      </c>
      <c r="BX190" s="14" t="s">
        <v>457</v>
      </c>
    </row>
    <row r="191">
      <c r="A191" s="151"/>
      <c r="C191" s="152" t="s">
        <v>458</v>
      </c>
      <c r="D191" s="152" t="s">
        <v>4</v>
      </c>
      <c r="F191" s="153" t="n">
        <v>150</v>
      </c>
      <c r="K191" s="154"/>
    </row>
    <row r="192">
      <c r="A192" s="144" t="s">
        <v>4</v>
      </c>
      <c r="B192" s="145" t="s">
        <v>310</v>
      </c>
      <c r="C192" s="146" t="s">
        <v>459</v>
      </c>
      <c r="D192" s="145"/>
      <c r="E192" s="147" t="s">
        <v>79</v>
      </c>
      <c r="F192" s="147" t="s">
        <v>79</v>
      </c>
      <c r="G192" s="147" t="s">
        <v>79</v>
      </c>
      <c r="H192" s="123">
        <f>SUM(H193:H193)</f>
      </c>
      <c r="I192" s="123">
        <f>SUM(I193:I193)</f>
      </c>
      <c r="J192" s="123">
        <f>SUM(J193:J193)</f>
      </c>
      <c r="K192" s="148" t="s">
        <v>4</v>
      </c>
      <c r="AI192" s="131" t="s">
        <v>103</v>
      </c>
      <c r="AS192" s="123">
        <f>SUM(AJ193:AJ193)</f>
      </c>
      <c r="AT192" s="123">
        <f>SUM(AK193:AK193)</f>
      </c>
      <c r="AU192" s="123">
        <f>SUM(AL193:AL193)</f>
      </c>
    </row>
    <row r="193">
      <c r="A193" s="9" t="s">
        <v>460</v>
      </c>
      <c r="B193" s="10" t="s">
        <v>461</v>
      </c>
      <c r="C193" s="14" t="s">
        <v>462</v>
      </c>
      <c r="D193" s="10"/>
      <c r="E193" s="10" t="s">
        <v>463</v>
      </c>
      <c r="F193" s="116" t="n">
        <v>1</v>
      </c>
      <c r="G193" s="116" t="n">
        <v>0</v>
      </c>
      <c r="H193" s="116">
        <f>F193*AO193</f>
      </c>
      <c r="I193" s="116">
        <f>F193*AP193</f>
      </c>
      <c r="J193" s="116">
        <f>F193*G193</f>
      </c>
      <c r="K193" s="149" t="s">
        <v>464</v>
      </c>
      <c r="Z193" s="116">
        <f>IF(AQ193="5",BJ193,0)</f>
      </c>
      <c r="AB193" s="116">
        <f>IF(AQ193="1",BH193,0)</f>
      </c>
      <c r="AC193" s="116">
        <f>IF(AQ193="1",BI193,0)</f>
      </c>
      <c r="AD193" s="116">
        <f>IF(AQ193="7",BH193,0)</f>
      </c>
      <c r="AE193" s="116">
        <f>IF(AQ193="7",BI193,0)</f>
      </c>
      <c r="AF193" s="116">
        <f>IF(AQ193="2",BH193,0)</f>
      </c>
      <c r="AG193" s="116">
        <f>IF(AQ193="2",BI193,0)</f>
      </c>
      <c r="AH193" s="116">
        <f>IF(AQ193="0",BJ193,0)</f>
      </c>
      <c r="AI193" s="131" t="s">
        <v>103</v>
      </c>
      <c r="AJ193" s="116">
        <f>IF(AN193=0,J193,0)</f>
      </c>
      <c r="AK193" s="116">
        <f>IF(AN193=12,J193,0)</f>
      </c>
      <c r="AL193" s="116">
        <f>IF(AN193=21,J193,0)</f>
      </c>
      <c r="AN193" s="116" t="n">
        <v>21</v>
      </c>
      <c r="AO193" s="116">
        <f>G193*1</f>
      </c>
      <c r="AP193" s="116">
        <f>G193*(1-1)</f>
      </c>
      <c r="AQ193" s="150" t="s">
        <v>88</v>
      </c>
      <c r="AV193" s="116">
        <f>AW193+AX193</f>
      </c>
      <c r="AW193" s="116">
        <f>F193*AO193</f>
      </c>
      <c r="AX193" s="116">
        <f>F193*AP193</f>
      </c>
      <c r="AY193" s="150" t="s">
        <v>465</v>
      </c>
      <c r="AZ193" s="150" t="s">
        <v>452</v>
      </c>
      <c r="BA193" s="131" t="s">
        <v>288</v>
      </c>
      <c r="BC193" s="116">
        <f>AW193+AX193</f>
      </c>
      <c r="BD193" s="116">
        <f>G193/(100-BE193)*100</f>
      </c>
      <c r="BE193" s="116" t="n">
        <v>0</v>
      </c>
      <c r="BF193" s="116">
        <f>193</f>
      </c>
      <c r="BH193" s="116">
        <f>F193*AO193</f>
      </c>
      <c r="BI193" s="116">
        <f>F193*AP193</f>
      </c>
      <c r="BJ193" s="116">
        <f>F193*G193</f>
      </c>
      <c r="BK193" s="116"/>
      <c r="BL193" s="116" t="n">
        <v>24</v>
      </c>
      <c r="BW193" s="116" t="n">
        <v>21</v>
      </c>
      <c r="BX193" s="14" t="s">
        <v>462</v>
      </c>
    </row>
    <row r="194" customHeight="true" ht="13.5">
      <c r="A194" s="151"/>
      <c r="C194" s="155" t="s">
        <v>466</v>
      </c>
      <c r="D194" s="152"/>
      <c r="E194" s="152"/>
      <c r="F194" s="152"/>
      <c r="G194" s="152"/>
      <c r="H194" s="152"/>
      <c r="I194" s="152"/>
      <c r="J194" s="152"/>
      <c r="K194" s="156"/>
    </row>
    <row r="195">
      <c r="A195" s="151"/>
      <c r="C195" s="152" t="s">
        <v>88</v>
      </c>
      <c r="D195" s="152" t="s">
        <v>4</v>
      </c>
      <c r="F195" s="153" t="n">
        <v>1</v>
      </c>
      <c r="K195" s="154"/>
    </row>
    <row r="196">
      <c r="A196" s="144" t="s">
        <v>4</v>
      </c>
      <c r="B196" s="145" t="s">
        <v>327</v>
      </c>
      <c r="C196" s="146" t="s">
        <v>467</v>
      </c>
      <c r="D196" s="145"/>
      <c r="E196" s="147" t="s">
        <v>79</v>
      </c>
      <c r="F196" s="147" t="s">
        <v>79</v>
      </c>
      <c r="G196" s="147" t="s">
        <v>79</v>
      </c>
      <c r="H196" s="123">
        <f>SUM(H197:H197)</f>
      </c>
      <c r="I196" s="123">
        <f>SUM(I197:I197)</f>
      </c>
      <c r="J196" s="123">
        <f>SUM(J197:J197)</f>
      </c>
      <c r="K196" s="148" t="s">
        <v>4</v>
      </c>
      <c r="AI196" s="131" t="s">
        <v>103</v>
      </c>
      <c r="AS196" s="123">
        <f>SUM(AJ197:AJ197)</f>
      </c>
      <c r="AT196" s="123">
        <f>SUM(AK197:AK197)</f>
      </c>
      <c r="AU196" s="123">
        <f>SUM(AL197:AL197)</f>
      </c>
    </row>
    <row r="197">
      <c r="A197" s="9" t="s">
        <v>468</v>
      </c>
      <c r="B197" s="10" t="s">
        <v>469</v>
      </c>
      <c r="C197" s="14" t="s">
        <v>470</v>
      </c>
      <c r="D197" s="10"/>
      <c r="E197" s="10" t="s">
        <v>259</v>
      </c>
      <c r="F197" s="116" t="n">
        <v>0.32</v>
      </c>
      <c r="G197" s="116" t="n">
        <v>0</v>
      </c>
      <c r="H197" s="116">
        <f>F197*AO197</f>
      </c>
      <c r="I197" s="116">
        <f>F197*AP197</f>
      </c>
      <c r="J197" s="116">
        <f>F197*G197</f>
      </c>
      <c r="K197" s="149" t="s">
        <v>159</v>
      </c>
      <c r="Z197" s="116">
        <f>IF(AQ197="5",BJ197,0)</f>
      </c>
      <c r="AB197" s="116">
        <f>IF(AQ197="1",BH197,0)</f>
      </c>
      <c r="AC197" s="116">
        <f>IF(AQ197="1",BI197,0)</f>
      </c>
      <c r="AD197" s="116">
        <f>IF(AQ197="7",BH197,0)</f>
      </c>
      <c r="AE197" s="116">
        <f>IF(AQ197="7",BI197,0)</f>
      </c>
      <c r="AF197" s="116">
        <f>IF(AQ197="2",BH197,0)</f>
      </c>
      <c r="AG197" s="116">
        <f>IF(AQ197="2",BI197,0)</f>
      </c>
      <c r="AH197" s="116">
        <f>IF(AQ197="0",BJ197,0)</f>
      </c>
      <c r="AI197" s="131" t="s">
        <v>103</v>
      </c>
      <c r="AJ197" s="116">
        <f>IF(AN197=0,J197,0)</f>
      </c>
      <c r="AK197" s="116">
        <f>IF(AN197=12,J197,0)</f>
      </c>
      <c r="AL197" s="116">
        <f>IF(AN197=21,J197,0)</f>
      </c>
      <c r="AN197" s="116" t="n">
        <v>21</v>
      </c>
      <c r="AO197" s="116">
        <f>G197*0.784805805</f>
      </c>
      <c r="AP197" s="116">
        <f>G197*(1-0.784805805)</f>
      </c>
      <c r="AQ197" s="150" t="s">
        <v>88</v>
      </c>
      <c r="AV197" s="116">
        <f>AW197+AX197</f>
      </c>
      <c r="AW197" s="116">
        <f>F197*AO197</f>
      </c>
      <c r="AX197" s="116">
        <f>F197*AP197</f>
      </c>
      <c r="AY197" s="150" t="s">
        <v>471</v>
      </c>
      <c r="AZ197" s="150" t="s">
        <v>452</v>
      </c>
      <c r="BA197" s="131" t="s">
        <v>288</v>
      </c>
      <c r="BC197" s="116">
        <f>AW197+AX197</f>
      </c>
      <c r="BD197" s="116">
        <f>G197/(100-BE197)*100</f>
      </c>
      <c r="BE197" s="116" t="n">
        <v>0</v>
      </c>
      <c r="BF197" s="116">
        <f>197</f>
      </c>
      <c r="BH197" s="116">
        <f>F197*AO197</f>
      </c>
      <c r="BI197" s="116">
        <f>F197*AP197</f>
      </c>
      <c r="BJ197" s="116">
        <f>F197*G197</f>
      </c>
      <c r="BK197" s="116"/>
      <c r="BL197" s="116" t="n">
        <v>27</v>
      </c>
      <c r="BW197" s="116" t="n">
        <v>21</v>
      </c>
      <c r="BX197" s="14" t="s">
        <v>470</v>
      </c>
    </row>
    <row r="198" customHeight="true" ht="13.5">
      <c r="A198" s="151"/>
      <c r="C198" s="155" t="s">
        <v>472</v>
      </c>
      <c r="D198" s="152"/>
      <c r="E198" s="152"/>
      <c r="F198" s="152"/>
      <c r="G198" s="152"/>
      <c r="H198" s="152"/>
      <c r="I198" s="152"/>
      <c r="J198" s="152"/>
      <c r="K198" s="156"/>
    </row>
    <row r="199">
      <c r="A199" s="151"/>
      <c r="C199" s="152" t="s">
        <v>473</v>
      </c>
      <c r="D199" s="152" t="s">
        <v>4</v>
      </c>
      <c r="F199" s="153" t="n">
        <v>0.32</v>
      </c>
      <c r="K199" s="154"/>
    </row>
    <row r="200">
      <c r="A200" s="151"/>
      <c r="B200" s="157" t="s">
        <v>177</v>
      </c>
      <c r="C200" s="155" t="s">
        <v>474</v>
      </c>
      <c r="D200" s="152"/>
      <c r="E200" s="152"/>
      <c r="F200" s="152"/>
      <c r="G200" s="152"/>
      <c r="H200" s="152"/>
      <c r="I200" s="152"/>
      <c r="J200" s="152"/>
      <c r="K200" s="156"/>
      <c r="BX200" s="155" t="s">
        <v>474</v>
      </c>
    </row>
    <row r="201">
      <c r="A201" s="144" t="s">
        <v>4</v>
      </c>
      <c r="B201" s="145" t="s">
        <v>187</v>
      </c>
      <c r="C201" s="146" t="s">
        <v>188</v>
      </c>
      <c r="D201" s="145"/>
      <c r="E201" s="147" t="s">
        <v>79</v>
      </c>
      <c r="F201" s="147" t="s">
        <v>79</v>
      </c>
      <c r="G201" s="147" t="s">
        <v>79</v>
      </c>
      <c r="H201" s="123">
        <f>SUM(H202:H211)</f>
      </c>
      <c r="I201" s="123">
        <f>SUM(I202:I211)</f>
      </c>
      <c r="J201" s="123">
        <f>SUM(J202:J211)</f>
      </c>
      <c r="K201" s="148" t="s">
        <v>4</v>
      </c>
      <c r="AI201" s="131" t="s">
        <v>103</v>
      </c>
      <c r="AS201" s="123">
        <f>SUM(AJ202:AJ211)</f>
      </c>
      <c r="AT201" s="123">
        <f>SUM(AK202:AK211)</f>
      </c>
      <c r="AU201" s="123">
        <f>SUM(AL202:AL211)</f>
      </c>
    </row>
    <row r="202">
      <c r="A202" s="9" t="s">
        <v>475</v>
      </c>
      <c r="B202" s="10" t="s">
        <v>476</v>
      </c>
      <c r="C202" s="14" t="s">
        <v>477</v>
      </c>
      <c r="D202" s="10"/>
      <c r="E202" s="10" t="s">
        <v>172</v>
      </c>
      <c r="F202" s="116" t="n">
        <v>11.369</v>
      </c>
      <c r="G202" s="116" t="n">
        <v>0</v>
      </c>
      <c r="H202" s="116">
        <f>F202*AO202</f>
      </c>
      <c r="I202" s="116">
        <f>F202*AP202</f>
      </c>
      <c r="J202" s="116">
        <f>F202*G202</f>
      </c>
      <c r="K202" s="149" t="s">
        <v>159</v>
      </c>
      <c r="Z202" s="116">
        <f>IF(AQ202="5",BJ202,0)</f>
      </c>
      <c r="AB202" s="116">
        <f>IF(AQ202="1",BH202,0)</f>
      </c>
      <c r="AC202" s="116">
        <f>IF(AQ202="1",BI202,0)</f>
      </c>
      <c r="AD202" s="116">
        <f>IF(AQ202="7",BH202,0)</f>
      </c>
      <c r="AE202" s="116">
        <f>IF(AQ202="7",BI202,0)</f>
      </c>
      <c r="AF202" s="116">
        <f>IF(AQ202="2",BH202,0)</f>
      </c>
      <c r="AG202" s="116">
        <f>IF(AQ202="2",BI202,0)</f>
      </c>
      <c r="AH202" s="116">
        <f>IF(AQ202="0",BJ202,0)</f>
      </c>
      <c r="AI202" s="131" t="s">
        <v>103</v>
      </c>
      <c r="AJ202" s="116">
        <f>IF(AN202=0,J202,0)</f>
      </c>
      <c r="AK202" s="116">
        <f>IF(AN202=12,J202,0)</f>
      </c>
      <c r="AL202" s="116">
        <f>IF(AN202=21,J202,0)</f>
      </c>
      <c r="AN202" s="116" t="n">
        <v>21</v>
      </c>
      <c r="AO202" s="116">
        <f>G202*0.834527016</f>
      </c>
      <c r="AP202" s="116">
        <f>G202*(1-0.834527016)</f>
      </c>
      <c r="AQ202" s="150" t="s">
        <v>88</v>
      </c>
      <c r="AV202" s="116">
        <f>AW202+AX202</f>
      </c>
      <c r="AW202" s="116">
        <f>F202*AO202</f>
      </c>
      <c r="AX202" s="116">
        <f>F202*AP202</f>
      </c>
      <c r="AY202" s="150" t="s">
        <v>192</v>
      </c>
      <c r="AZ202" s="150" t="s">
        <v>478</v>
      </c>
      <c r="BA202" s="131" t="s">
        <v>288</v>
      </c>
      <c r="BC202" s="116">
        <f>AW202+AX202</f>
      </c>
      <c r="BD202" s="116">
        <f>G202/(100-BE202)*100</f>
      </c>
      <c r="BE202" s="116" t="n">
        <v>0</v>
      </c>
      <c r="BF202" s="116">
        <f>202</f>
      </c>
      <c r="BH202" s="116">
        <f>F202*AO202</f>
      </c>
      <c r="BI202" s="116">
        <f>F202*AP202</f>
      </c>
      <c r="BJ202" s="116">
        <f>F202*G202</f>
      </c>
      <c r="BK202" s="116"/>
      <c r="BL202" s="116" t="n">
        <v>38</v>
      </c>
      <c r="BW202" s="116" t="n">
        <v>21</v>
      </c>
      <c r="BX202" s="14" t="s">
        <v>477</v>
      </c>
    </row>
    <row r="203" customHeight="true" ht="13.5">
      <c r="A203" s="151"/>
      <c r="C203" s="155" t="s">
        <v>479</v>
      </c>
      <c r="D203" s="152"/>
      <c r="E203" s="152"/>
      <c r="F203" s="152"/>
      <c r="G203" s="152"/>
      <c r="H203" s="152"/>
      <c r="I203" s="152"/>
      <c r="J203" s="152"/>
      <c r="K203" s="156"/>
    </row>
    <row r="204">
      <c r="A204" s="151"/>
      <c r="C204" s="152" t="s">
        <v>480</v>
      </c>
      <c r="D204" s="152" t="s">
        <v>481</v>
      </c>
      <c r="F204" s="153" t="n">
        <v>8.829</v>
      </c>
      <c r="K204" s="154"/>
    </row>
    <row r="205">
      <c r="A205" s="151"/>
      <c r="C205" s="152" t="s">
        <v>482</v>
      </c>
      <c r="D205" s="152" t="s">
        <v>483</v>
      </c>
      <c r="F205" s="153" t="n">
        <v>2.54</v>
      </c>
      <c r="K205" s="154"/>
    </row>
    <row r="206">
      <c r="A206" s="9" t="s">
        <v>484</v>
      </c>
      <c r="B206" s="10" t="s">
        <v>485</v>
      </c>
      <c r="C206" s="14" t="s">
        <v>486</v>
      </c>
      <c r="D206" s="10"/>
      <c r="E206" s="10" t="s">
        <v>172</v>
      </c>
      <c r="F206" s="116" t="n">
        <v>2.511</v>
      </c>
      <c r="G206" s="116" t="n">
        <v>0</v>
      </c>
      <c r="H206" s="116">
        <f>F206*AO206</f>
      </c>
      <c r="I206" s="116">
        <f>F206*AP206</f>
      </c>
      <c r="J206" s="116">
        <f>F206*G206</f>
      </c>
      <c r="K206" s="149" t="s">
        <v>159</v>
      </c>
      <c r="Z206" s="116">
        <f>IF(AQ206="5",BJ206,0)</f>
      </c>
      <c r="AB206" s="116">
        <f>IF(AQ206="1",BH206,0)</f>
      </c>
      <c r="AC206" s="116">
        <f>IF(AQ206="1",BI206,0)</f>
      </c>
      <c r="AD206" s="116">
        <f>IF(AQ206="7",BH206,0)</f>
      </c>
      <c r="AE206" s="116">
        <f>IF(AQ206="7",BI206,0)</f>
      </c>
      <c r="AF206" s="116">
        <f>IF(AQ206="2",BH206,0)</f>
      </c>
      <c r="AG206" s="116">
        <f>IF(AQ206="2",BI206,0)</f>
      </c>
      <c r="AH206" s="116">
        <f>IF(AQ206="0",BJ206,0)</f>
      </c>
      <c r="AI206" s="131" t="s">
        <v>103</v>
      </c>
      <c r="AJ206" s="116">
        <f>IF(AN206=0,J206,0)</f>
      </c>
      <c r="AK206" s="116">
        <f>IF(AN206=12,J206,0)</f>
      </c>
      <c r="AL206" s="116">
        <f>IF(AN206=21,J206,0)</f>
      </c>
      <c r="AN206" s="116" t="n">
        <v>21</v>
      </c>
      <c r="AO206" s="116">
        <f>G206*0.709396485</f>
      </c>
      <c r="AP206" s="116">
        <f>G206*(1-0.709396485)</f>
      </c>
      <c r="AQ206" s="150" t="s">
        <v>88</v>
      </c>
      <c r="AV206" s="116">
        <f>AW206+AX206</f>
      </c>
      <c r="AW206" s="116">
        <f>F206*AO206</f>
      </c>
      <c r="AX206" s="116">
        <f>F206*AP206</f>
      </c>
      <c r="AY206" s="150" t="s">
        <v>192</v>
      </c>
      <c r="AZ206" s="150" t="s">
        <v>478</v>
      </c>
      <c r="BA206" s="131" t="s">
        <v>288</v>
      </c>
      <c r="BC206" s="116">
        <f>AW206+AX206</f>
      </c>
      <c r="BD206" s="116">
        <f>G206/(100-BE206)*100</f>
      </c>
      <c r="BE206" s="116" t="n">
        <v>0</v>
      </c>
      <c r="BF206" s="116">
        <f>206</f>
      </c>
      <c r="BH206" s="116">
        <f>F206*AO206</f>
      </c>
      <c r="BI206" s="116">
        <f>F206*AP206</f>
      </c>
      <c r="BJ206" s="116">
        <f>F206*G206</f>
      </c>
      <c r="BK206" s="116"/>
      <c r="BL206" s="116" t="n">
        <v>38</v>
      </c>
      <c r="BW206" s="116" t="n">
        <v>21</v>
      </c>
      <c r="BX206" s="14" t="s">
        <v>486</v>
      </c>
    </row>
    <row r="207" customHeight="true" ht="13.5">
      <c r="A207" s="151"/>
      <c r="C207" s="155" t="s">
        <v>487</v>
      </c>
      <c r="D207" s="152"/>
      <c r="E207" s="152"/>
      <c r="F207" s="152"/>
      <c r="G207" s="152"/>
      <c r="H207" s="152"/>
      <c r="I207" s="152"/>
      <c r="J207" s="152"/>
      <c r="K207" s="156"/>
    </row>
    <row r="208">
      <c r="A208" s="151"/>
      <c r="C208" s="152" t="s">
        <v>488</v>
      </c>
      <c r="D208" s="152" t="s">
        <v>489</v>
      </c>
      <c r="F208" s="153" t="n">
        <v>2.1527</v>
      </c>
      <c r="K208" s="154"/>
    </row>
    <row r="209">
      <c r="A209" s="151"/>
      <c r="C209" s="152" t="s">
        <v>490</v>
      </c>
      <c r="D209" s="152" t="s">
        <v>491</v>
      </c>
      <c r="F209" s="153" t="n">
        <v>0.3583</v>
      </c>
      <c r="K209" s="154"/>
    </row>
    <row r="210">
      <c r="A210" s="151"/>
      <c r="B210" s="157" t="s">
        <v>177</v>
      </c>
      <c r="C210" s="155" t="s">
        <v>492</v>
      </c>
      <c r="D210" s="152"/>
      <c r="E210" s="152"/>
      <c r="F210" s="152"/>
      <c r="G210" s="152"/>
      <c r="H210" s="152"/>
      <c r="I210" s="152"/>
      <c r="J210" s="152"/>
      <c r="K210" s="156"/>
      <c r="BX210" s="155" t="s">
        <v>492</v>
      </c>
    </row>
    <row r="211">
      <c r="A211" s="9" t="s">
        <v>197</v>
      </c>
      <c r="B211" s="10" t="s">
        <v>493</v>
      </c>
      <c r="C211" s="14" t="s">
        <v>494</v>
      </c>
      <c r="D211" s="10"/>
      <c r="E211" s="10" t="s">
        <v>463</v>
      </c>
      <c r="F211" s="116" t="n">
        <v>3</v>
      </c>
      <c r="G211" s="116" t="n">
        <v>0</v>
      </c>
      <c r="H211" s="116">
        <f>F211*AO211</f>
      </c>
      <c r="I211" s="116">
        <f>F211*AP211</f>
      </c>
      <c r="J211" s="116">
        <f>F211*G211</f>
      </c>
      <c r="K211" s="149" t="s">
        <v>159</v>
      </c>
      <c r="Z211" s="116">
        <f>IF(AQ211="5",BJ211,0)</f>
      </c>
      <c r="AB211" s="116">
        <f>IF(AQ211="1",BH211,0)</f>
      </c>
      <c r="AC211" s="116">
        <f>IF(AQ211="1",BI211,0)</f>
      </c>
      <c r="AD211" s="116">
        <f>IF(AQ211="7",BH211,0)</f>
      </c>
      <c r="AE211" s="116">
        <f>IF(AQ211="7",BI211,0)</f>
      </c>
      <c r="AF211" s="116">
        <f>IF(AQ211="2",BH211,0)</f>
      </c>
      <c r="AG211" s="116">
        <f>IF(AQ211="2",BI211,0)</f>
      </c>
      <c r="AH211" s="116">
        <f>IF(AQ211="0",BJ211,0)</f>
      </c>
      <c r="AI211" s="131" t="s">
        <v>103</v>
      </c>
      <c r="AJ211" s="116">
        <f>IF(AN211=0,J211,0)</f>
      </c>
      <c r="AK211" s="116">
        <f>IF(AN211=12,J211,0)</f>
      </c>
      <c r="AL211" s="116">
        <f>IF(AN211=21,J211,0)</f>
      </c>
      <c r="AN211" s="116" t="n">
        <v>21</v>
      </c>
      <c r="AO211" s="116">
        <f>G211*0.144690402</f>
      </c>
      <c r="AP211" s="116">
        <f>G211*(1-0.144690402)</f>
      </c>
      <c r="AQ211" s="150" t="s">
        <v>88</v>
      </c>
      <c r="AV211" s="116">
        <f>AW211+AX211</f>
      </c>
      <c r="AW211" s="116">
        <f>F211*AO211</f>
      </c>
      <c r="AX211" s="116">
        <f>F211*AP211</f>
      </c>
      <c r="AY211" s="150" t="s">
        <v>192</v>
      </c>
      <c r="AZ211" s="150" t="s">
        <v>478</v>
      </c>
      <c r="BA211" s="131" t="s">
        <v>288</v>
      </c>
      <c r="BC211" s="116">
        <f>AW211+AX211</f>
      </c>
      <c r="BD211" s="116">
        <f>G211/(100-BE211)*100</f>
      </c>
      <c r="BE211" s="116" t="n">
        <v>0</v>
      </c>
      <c r="BF211" s="116">
        <f>211</f>
      </c>
      <c r="BH211" s="116">
        <f>F211*AO211</f>
      </c>
      <c r="BI211" s="116">
        <f>F211*AP211</f>
      </c>
      <c r="BJ211" s="116">
        <f>F211*G211</f>
      </c>
      <c r="BK211" s="116"/>
      <c r="BL211" s="116" t="n">
        <v>38</v>
      </c>
      <c r="BW211" s="116" t="n">
        <v>21</v>
      </c>
      <c r="BX211" s="14" t="s">
        <v>494</v>
      </c>
    </row>
    <row r="212">
      <c r="A212" s="151"/>
      <c r="C212" s="152" t="s">
        <v>495</v>
      </c>
      <c r="D212" s="152" t="s">
        <v>496</v>
      </c>
      <c r="F212" s="153" t="n">
        <v>3</v>
      </c>
      <c r="K212" s="154"/>
    </row>
    <row r="213">
      <c r="A213" s="144" t="s">
        <v>4</v>
      </c>
      <c r="B213" s="145" t="s">
        <v>407</v>
      </c>
      <c r="C213" s="146" t="s">
        <v>497</v>
      </c>
      <c r="D213" s="145"/>
      <c r="E213" s="147" t="s">
        <v>79</v>
      </c>
      <c r="F213" s="147" t="s">
        <v>79</v>
      </c>
      <c r="G213" s="147" t="s">
        <v>79</v>
      </c>
      <c r="H213" s="123">
        <f>SUM(H214:H228)</f>
      </c>
      <c r="I213" s="123">
        <f>SUM(I214:I228)</f>
      </c>
      <c r="J213" s="123">
        <f>SUM(J214:J228)</f>
      </c>
      <c r="K213" s="148" t="s">
        <v>4</v>
      </c>
      <c r="AI213" s="131" t="s">
        <v>103</v>
      </c>
      <c r="AS213" s="123">
        <f>SUM(AJ214:AJ228)</f>
      </c>
      <c r="AT213" s="123">
        <f>SUM(AK214:AK228)</f>
      </c>
      <c r="AU213" s="123">
        <f>SUM(AL214:AL228)</f>
      </c>
    </row>
    <row r="214">
      <c r="A214" s="9" t="s">
        <v>498</v>
      </c>
      <c r="B214" s="10" t="s">
        <v>499</v>
      </c>
      <c r="C214" s="14" t="s">
        <v>500</v>
      </c>
      <c r="D214" s="10"/>
      <c r="E214" s="10" t="s">
        <v>172</v>
      </c>
      <c r="F214" s="116" t="n">
        <v>18.15</v>
      </c>
      <c r="G214" s="116" t="n">
        <v>0</v>
      </c>
      <c r="H214" s="116">
        <f>F214*AO214</f>
      </c>
      <c r="I214" s="116">
        <f>F214*AP214</f>
      </c>
      <c r="J214" s="116">
        <f>F214*G214</f>
      </c>
      <c r="K214" s="149" t="s">
        <v>159</v>
      </c>
      <c r="Z214" s="116">
        <f>IF(AQ214="5",BJ214,0)</f>
      </c>
      <c r="AB214" s="116">
        <f>IF(AQ214="1",BH214,0)</f>
      </c>
      <c r="AC214" s="116">
        <f>IF(AQ214="1",BI214,0)</f>
      </c>
      <c r="AD214" s="116">
        <f>IF(AQ214="7",BH214,0)</f>
      </c>
      <c r="AE214" s="116">
        <f>IF(AQ214="7",BI214,0)</f>
      </c>
      <c r="AF214" s="116">
        <f>IF(AQ214="2",BH214,0)</f>
      </c>
      <c r="AG214" s="116">
        <f>IF(AQ214="2",BI214,0)</f>
      </c>
      <c r="AH214" s="116">
        <f>IF(AQ214="0",BJ214,0)</f>
      </c>
      <c r="AI214" s="131" t="s">
        <v>103</v>
      </c>
      <c r="AJ214" s="116">
        <f>IF(AN214=0,J214,0)</f>
      </c>
      <c r="AK214" s="116">
        <f>IF(AN214=12,J214,0)</f>
      </c>
      <c r="AL214" s="116">
        <f>IF(AN214=21,J214,0)</f>
      </c>
      <c r="AN214" s="116" t="n">
        <v>21</v>
      </c>
      <c r="AO214" s="116">
        <f>G214*0.459334128</f>
      </c>
      <c r="AP214" s="116">
        <f>G214*(1-0.459334128)</f>
      </c>
      <c r="AQ214" s="150" t="s">
        <v>88</v>
      </c>
      <c r="AV214" s="116">
        <f>AW214+AX214</f>
      </c>
      <c r="AW214" s="116">
        <f>F214*AO214</f>
      </c>
      <c r="AX214" s="116">
        <f>F214*AP214</f>
      </c>
      <c r="AY214" s="150" t="s">
        <v>501</v>
      </c>
      <c r="AZ214" s="150" t="s">
        <v>502</v>
      </c>
      <c r="BA214" s="131" t="s">
        <v>288</v>
      </c>
      <c r="BC214" s="116">
        <f>AW214+AX214</f>
      </c>
      <c r="BD214" s="116">
        <f>G214/(100-BE214)*100</f>
      </c>
      <c r="BE214" s="116" t="n">
        <v>0</v>
      </c>
      <c r="BF214" s="116">
        <f>214</f>
      </c>
      <c r="BH214" s="116">
        <f>F214*AO214</f>
      </c>
      <c r="BI214" s="116">
        <f>F214*AP214</f>
      </c>
      <c r="BJ214" s="116">
        <f>F214*G214</f>
      </c>
      <c r="BK214" s="116"/>
      <c r="BL214" s="116" t="n">
        <v>45</v>
      </c>
      <c r="BW214" s="116" t="n">
        <v>21</v>
      </c>
      <c r="BX214" s="14" t="s">
        <v>500</v>
      </c>
    </row>
    <row r="215" customHeight="true" ht="13.5">
      <c r="A215" s="151"/>
      <c r="C215" s="155" t="s">
        <v>503</v>
      </c>
      <c r="D215" s="152"/>
      <c r="E215" s="152"/>
      <c r="F215" s="152"/>
      <c r="G215" s="152"/>
      <c r="H215" s="152"/>
      <c r="I215" s="152"/>
      <c r="J215" s="152"/>
      <c r="K215" s="156"/>
    </row>
    <row r="216">
      <c r="A216" s="151"/>
      <c r="C216" s="152" t="s">
        <v>504</v>
      </c>
      <c r="D216" s="152" t="s">
        <v>320</v>
      </c>
      <c r="F216" s="153" t="n">
        <v>14.4</v>
      </c>
      <c r="K216" s="154"/>
    </row>
    <row r="217">
      <c r="A217" s="151"/>
      <c r="C217" s="152" t="s">
        <v>505</v>
      </c>
      <c r="D217" s="152" t="s">
        <v>320</v>
      </c>
      <c r="F217" s="153" t="n">
        <v>0.75</v>
      </c>
      <c r="K217" s="154"/>
    </row>
    <row r="218">
      <c r="A218" s="151"/>
      <c r="C218" s="152" t="s">
        <v>495</v>
      </c>
      <c r="D218" s="152" t="s">
        <v>506</v>
      </c>
      <c r="F218" s="153" t="n">
        <v>3</v>
      </c>
      <c r="K218" s="154"/>
    </row>
    <row r="219">
      <c r="A219" s="151"/>
      <c r="B219" s="157" t="s">
        <v>177</v>
      </c>
      <c r="C219" s="155" t="s">
        <v>507</v>
      </c>
      <c r="D219" s="152"/>
      <c r="E219" s="152"/>
      <c r="F219" s="152"/>
      <c r="G219" s="152"/>
      <c r="H219" s="152"/>
      <c r="I219" s="152"/>
      <c r="J219" s="152"/>
      <c r="K219" s="156"/>
      <c r="BX219" s="155" t="s">
        <v>507</v>
      </c>
    </row>
    <row r="220">
      <c r="A220" s="9" t="s">
        <v>249</v>
      </c>
      <c r="B220" s="10" t="s">
        <v>508</v>
      </c>
      <c r="C220" s="14" t="s">
        <v>509</v>
      </c>
      <c r="D220" s="10"/>
      <c r="E220" s="10" t="s">
        <v>172</v>
      </c>
      <c r="F220" s="116" t="n">
        <v>6.2486</v>
      </c>
      <c r="G220" s="116" t="n">
        <v>0</v>
      </c>
      <c r="H220" s="116">
        <f>F220*AO220</f>
      </c>
      <c r="I220" s="116">
        <f>F220*AP220</f>
      </c>
      <c r="J220" s="116">
        <f>F220*G220</f>
      </c>
      <c r="K220" s="149" t="s">
        <v>159</v>
      </c>
      <c r="Z220" s="116">
        <f>IF(AQ220="5",BJ220,0)</f>
      </c>
      <c r="AB220" s="116">
        <f>IF(AQ220="1",BH220,0)</f>
      </c>
      <c r="AC220" s="116">
        <f>IF(AQ220="1",BI220,0)</f>
      </c>
      <c r="AD220" s="116">
        <f>IF(AQ220="7",BH220,0)</f>
      </c>
      <c r="AE220" s="116">
        <f>IF(AQ220="7",BI220,0)</f>
      </c>
      <c r="AF220" s="116">
        <f>IF(AQ220="2",BH220,0)</f>
      </c>
      <c r="AG220" s="116">
        <f>IF(AQ220="2",BI220,0)</f>
      </c>
      <c r="AH220" s="116">
        <f>IF(AQ220="0",BJ220,0)</f>
      </c>
      <c r="AI220" s="131" t="s">
        <v>103</v>
      </c>
      <c r="AJ220" s="116">
        <f>IF(AN220=0,J220,0)</f>
      </c>
      <c r="AK220" s="116">
        <f>IF(AN220=12,J220,0)</f>
      </c>
      <c r="AL220" s="116">
        <f>IF(AN220=21,J220,0)</f>
      </c>
      <c r="AN220" s="116" t="n">
        <v>21</v>
      </c>
      <c r="AO220" s="116">
        <f>G220*0.53646805</f>
      </c>
      <c r="AP220" s="116">
        <f>G220*(1-0.53646805)</f>
      </c>
      <c r="AQ220" s="150" t="s">
        <v>88</v>
      </c>
      <c r="AV220" s="116">
        <f>AW220+AX220</f>
      </c>
      <c r="AW220" s="116">
        <f>F220*AO220</f>
      </c>
      <c r="AX220" s="116">
        <f>F220*AP220</f>
      </c>
      <c r="AY220" s="150" t="s">
        <v>501</v>
      </c>
      <c r="AZ220" s="150" t="s">
        <v>502</v>
      </c>
      <c r="BA220" s="131" t="s">
        <v>288</v>
      </c>
      <c r="BC220" s="116">
        <f>AW220+AX220</f>
      </c>
      <c r="BD220" s="116">
        <f>G220/(100-BE220)*100</f>
      </c>
      <c r="BE220" s="116" t="n">
        <v>0</v>
      </c>
      <c r="BF220" s="116">
        <f>220</f>
      </c>
      <c r="BH220" s="116">
        <f>F220*AO220</f>
      </c>
      <c r="BI220" s="116">
        <f>F220*AP220</f>
      </c>
      <c r="BJ220" s="116">
        <f>F220*G220</f>
      </c>
      <c r="BK220" s="116"/>
      <c r="BL220" s="116" t="n">
        <v>45</v>
      </c>
      <c r="BW220" s="116" t="n">
        <v>21</v>
      </c>
      <c r="BX220" s="14" t="s">
        <v>509</v>
      </c>
    </row>
    <row r="221">
      <c r="A221" s="151"/>
      <c r="C221" s="152" t="s">
        <v>510</v>
      </c>
      <c r="D221" s="152" t="s">
        <v>290</v>
      </c>
      <c r="F221" s="153" t="n">
        <v>6.2486</v>
      </c>
      <c r="K221" s="154"/>
    </row>
    <row r="222">
      <c r="A222" s="9" t="s">
        <v>511</v>
      </c>
      <c r="B222" s="10" t="s">
        <v>512</v>
      </c>
      <c r="C222" s="14" t="s">
        <v>513</v>
      </c>
      <c r="D222" s="10"/>
      <c r="E222" s="10" t="s">
        <v>216</v>
      </c>
      <c r="F222" s="116" t="n">
        <v>492</v>
      </c>
      <c r="G222" s="116" t="n">
        <v>0</v>
      </c>
      <c r="H222" s="116">
        <f>F222*AO222</f>
      </c>
      <c r="I222" s="116">
        <f>F222*AP222</f>
      </c>
      <c r="J222" s="116">
        <f>F222*G222</f>
      </c>
      <c r="K222" s="149" t="s">
        <v>159</v>
      </c>
      <c r="Z222" s="116">
        <f>IF(AQ222="5",BJ222,0)</f>
      </c>
      <c r="AB222" s="116">
        <f>IF(AQ222="1",BH222,0)</f>
      </c>
      <c r="AC222" s="116">
        <f>IF(AQ222="1",BI222,0)</f>
      </c>
      <c r="AD222" s="116">
        <f>IF(AQ222="7",BH222,0)</f>
      </c>
      <c r="AE222" s="116">
        <f>IF(AQ222="7",BI222,0)</f>
      </c>
      <c r="AF222" s="116">
        <f>IF(AQ222="2",BH222,0)</f>
      </c>
      <c r="AG222" s="116">
        <f>IF(AQ222="2",BI222,0)</f>
      </c>
      <c r="AH222" s="116">
        <f>IF(AQ222="0",BJ222,0)</f>
      </c>
      <c r="AI222" s="131" t="s">
        <v>103</v>
      </c>
      <c r="AJ222" s="116">
        <f>IF(AN222=0,J222,0)</f>
      </c>
      <c r="AK222" s="116">
        <f>IF(AN222=12,J222,0)</f>
      </c>
      <c r="AL222" s="116">
        <f>IF(AN222=21,J222,0)</f>
      </c>
      <c r="AN222" s="116" t="n">
        <v>21</v>
      </c>
      <c r="AO222" s="116">
        <f>G222*0.616398294</f>
      </c>
      <c r="AP222" s="116">
        <f>G222*(1-0.616398294)</f>
      </c>
      <c r="AQ222" s="150" t="s">
        <v>88</v>
      </c>
      <c r="AV222" s="116">
        <f>AW222+AX222</f>
      </c>
      <c r="AW222" s="116">
        <f>F222*AO222</f>
      </c>
      <c r="AX222" s="116">
        <f>F222*AP222</f>
      </c>
      <c r="AY222" s="150" t="s">
        <v>501</v>
      </c>
      <c r="AZ222" s="150" t="s">
        <v>502</v>
      </c>
      <c r="BA222" s="131" t="s">
        <v>288</v>
      </c>
      <c r="BC222" s="116">
        <f>AW222+AX222</f>
      </c>
      <c r="BD222" s="116">
        <f>G222/(100-BE222)*100</f>
      </c>
      <c r="BE222" s="116" t="n">
        <v>0</v>
      </c>
      <c r="BF222" s="116">
        <f>222</f>
      </c>
      <c r="BH222" s="116">
        <f>F222*AO222</f>
      </c>
      <c r="BI222" s="116">
        <f>F222*AP222</f>
      </c>
      <c r="BJ222" s="116">
        <f>F222*G222</f>
      </c>
      <c r="BK222" s="116"/>
      <c r="BL222" s="116" t="n">
        <v>45</v>
      </c>
      <c r="BW222" s="116" t="n">
        <v>21</v>
      </c>
      <c r="BX222" s="14" t="s">
        <v>513</v>
      </c>
    </row>
    <row r="223" customHeight="true" ht="13.5">
      <c r="A223" s="151"/>
      <c r="C223" s="155" t="s">
        <v>514</v>
      </c>
      <c r="D223" s="152"/>
      <c r="E223" s="152"/>
      <c r="F223" s="152"/>
      <c r="G223" s="152"/>
      <c r="H223" s="152"/>
      <c r="I223" s="152"/>
      <c r="J223" s="152"/>
      <c r="K223" s="156"/>
    </row>
    <row r="224">
      <c r="A224" s="151"/>
      <c r="C224" s="152" t="s">
        <v>330</v>
      </c>
      <c r="D224" s="152" t="s">
        <v>405</v>
      </c>
      <c r="F224" s="153" t="n">
        <v>492</v>
      </c>
      <c r="K224" s="154"/>
    </row>
    <row r="225">
      <c r="A225" s="9" t="s">
        <v>515</v>
      </c>
      <c r="B225" s="10" t="s">
        <v>516</v>
      </c>
      <c r="C225" s="14" t="s">
        <v>517</v>
      </c>
      <c r="D225" s="10"/>
      <c r="E225" s="10" t="s">
        <v>172</v>
      </c>
      <c r="F225" s="116" t="n">
        <v>5.3459</v>
      </c>
      <c r="G225" s="116" t="n">
        <v>0</v>
      </c>
      <c r="H225" s="116">
        <f>F225*AO225</f>
      </c>
      <c r="I225" s="116">
        <f>F225*AP225</f>
      </c>
      <c r="J225" s="116">
        <f>F225*G225</f>
      </c>
      <c r="K225" s="149" t="s">
        <v>159</v>
      </c>
      <c r="Z225" s="116">
        <f>IF(AQ225="5",BJ225,0)</f>
      </c>
      <c r="AB225" s="116">
        <f>IF(AQ225="1",BH225,0)</f>
      </c>
      <c r="AC225" s="116">
        <f>IF(AQ225="1",BI225,0)</f>
      </c>
      <c r="AD225" s="116">
        <f>IF(AQ225="7",BH225,0)</f>
      </c>
      <c r="AE225" s="116">
        <f>IF(AQ225="7",BI225,0)</f>
      </c>
      <c r="AF225" s="116">
        <f>IF(AQ225="2",BH225,0)</f>
      </c>
      <c r="AG225" s="116">
        <f>IF(AQ225="2",BI225,0)</f>
      </c>
      <c r="AH225" s="116">
        <f>IF(AQ225="0",BJ225,0)</f>
      </c>
      <c r="AI225" s="131" t="s">
        <v>103</v>
      </c>
      <c r="AJ225" s="116">
        <f>IF(AN225=0,J225,0)</f>
      </c>
      <c r="AK225" s="116">
        <f>IF(AN225=12,J225,0)</f>
      </c>
      <c r="AL225" s="116">
        <f>IF(AN225=21,J225,0)</f>
      </c>
      <c r="AN225" s="116" t="n">
        <v>21</v>
      </c>
      <c r="AO225" s="116">
        <f>G225*0.841691209</f>
      </c>
      <c r="AP225" s="116">
        <f>G225*(1-0.841691209)</f>
      </c>
      <c r="AQ225" s="150" t="s">
        <v>88</v>
      </c>
      <c r="AV225" s="116">
        <f>AW225+AX225</f>
      </c>
      <c r="AW225" s="116">
        <f>F225*AO225</f>
      </c>
      <c r="AX225" s="116">
        <f>F225*AP225</f>
      </c>
      <c r="AY225" s="150" t="s">
        <v>501</v>
      </c>
      <c r="AZ225" s="150" t="s">
        <v>502</v>
      </c>
      <c r="BA225" s="131" t="s">
        <v>288</v>
      </c>
      <c r="BC225" s="116">
        <f>AW225+AX225</f>
      </c>
      <c r="BD225" s="116">
        <f>G225/(100-BE225)*100</f>
      </c>
      <c r="BE225" s="116" t="n">
        <v>0</v>
      </c>
      <c r="BF225" s="116">
        <f>225</f>
      </c>
      <c r="BH225" s="116">
        <f>F225*AO225</f>
      </c>
      <c r="BI225" s="116">
        <f>F225*AP225</f>
      </c>
      <c r="BJ225" s="116">
        <f>F225*G225</f>
      </c>
      <c r="BK225" s="116"/>
      <c r="BL225" s="116" t="n">
        <v>45</v>
      </c>
      <c r="BW225" s="116" t="n">
        <v>21</v>
      </c>
      <c r="BX225" s="14" t="s">
        <v>517</v>
      </c>
    </row>
    <row r="226">
      <c r="A226" s="151"/>
      <c r="C226" s="152" t="s">
        <v>518</v>
      </c>
      <c r="D226" s="152" t="s">
        <v>4</v>
      </c>
      <c r="F226" s="153" t="n">
        <v>5.3459</v>
      </c>
      <c r="K226" s="154"/>
    </row>
    <row r="227">
      <c r="A227" s="151"/>
      <c r="B227" s="157" t="s">
        <v>177</v>
      </c>
      <c r="C227" s="155" t="s">
        <v>519</v>
      </c>
      <c r="D227" s="152"/>
      <c r="E227" s="152"/>
      <c r="F227" s="152"/>
      <c r="G227" s="152"/>
      <c r="H227" s="152"/>
      <c r="I227" s="152"/>
      <c r="J227" s="152"/>
      <c r="K227" s="156"/>
      <c r="BX227" s="155" t="s">
        <v>519</v>
      </c>
    </row>
    <row r="228">
      <c r="A228" s="9" t="s">
        <v>520</v>
      </c>
      <c r="B228" s="10" t="s">
        <v>521</v>
      </c>
      <c r="C228" s="14" t="s">
        <v>522</v>
      </c>
      <c r="D228" s="10"/>
      <c r="E228" s="10" t="s">
        <v>158</v>
      </c>
      <c r="F228" s="116" t="n">
        <v>5.1608</v>
      </c>
      <c r="G228" s="116" t="n">
        <v>0</v>
      </c>
      <c r="H228" s="116">
        <f>F228*AO228</f>
      </c>
      <c r="I228" s="116">
        <f>F228*AP228</f>
      </c>
      <c r="J228" s="116">
        <f>F228*G228</f>
      </c>
      <c r="K228" s="149" t="s">
        <v>159</v>
      </c>
      <c r="Z228" s="116">
        <f>IF(AQ228="5",BJ228,0)</f>
      </c>
      <c r="AB228" s="116">
        <f>IF(AQ228="1",BH228,0)</f>
      </c>
      <c r="AC228" s="116">
        <f>IF(AQ228="1",BI228,0)</f>
      </c>
      <c r="AD228" s="116">
        <f>IF(AQ228="7",BH228,0)</f>
      </c>
      <c r="AE228" s="116">
        <f>IF(AQ228="7",BI228,0)</f>
      </c>
      <c r="AF228" s="116">
        <f>IF(AQ228="2",BH228,0)</f>
      </c>
      <c r="AG228" s="116">
        <f>IF(AQ228="2",BI228,0)</f>
      </c>
      <c r="AH228" s="116">
        <f>IF(AQ228="0",BJ228,0)</f>
      </c>
      <c r="AI228" s="131" t="s">
        <v>103</v>
      </c>
      <c r="AJ228" s="116">
        <f>IF(AN228=0,J228,0)</f>
      </c>
      <c r="AK228" s="116">
        <f>IF(AN228=12,J228,0)</f>
      </c>
      <c r="AL228" s="116">
        <f>IF(AN228=21,J228,0)</f>
      </c>
      <c r="AN228" s="116" t="n">
        <v>21</v>
      </c>
      <c r="AO228" s="116">
        <f>G228*0.152507826</f>
      </c>
      <c r="AP228" s="116">
        <f>G228*(1-0.152507826)</f>
      </c>
      <c r="AQ228" s="150" t="s">
        <v>88</v>
      </c>
      <c r="AV228" s="116">
        <f>AW228+AX228</f>
      </c>
      <c r="AW228" s="116">
        <f>F228*AO228</f>
      </c>
      <c r="AX228" s="116">
        <f>F228*AP228</f>
      </c>
      <c r="AY228" s="150" t="s">
        <v>501</v>
      </c>
      <c r="AZ228" s="150" t="s">
        <v>502</v>
      </c>
      <c r="BA228" s="131" t="s">
        <v>288</v>
      </c>
      <c r="BC228" s="116">
        <f>AW228+AX228</f>
      </c>
      <c r="BD228" s="116">
        <f>G228/(100-BE228)*100</f>
      </c>
      <c r="BE228" s="116" t="n">
        <v>0</v>
      </c>
      <c r="BF228" s="116">
        <f>228</f>
      </c>
      <c r="BH228" s="116">
        <f>F228*AO228</f>
      </c>
      <c r="BI228" s="116">
        <f>F228*AP228</f>
      </c>
      <c r="BJ228" s="116">
        <f>F228*G228</f>
      </c>
      <c r="BK228" s="116"/>
      <c r="BL228" s="116" t="n">
        <v>45</v>
      </c>
      <c r="BW228" s="116" t="n">
        <v>21</v>
      </c>
      <c r="BX228" s="14" t="s">
        <v>522</v>
      </c>
    </row>
    <row r="229">
      <c r="A229" s="151"/>
      <c r="C229" s="152" t="s">
        <v>523</v>
      </c>
      <c r="D229" s="152" t="s">
        <v>4</v>
      </c>
      <c r="F229" s="153" t="n">
        <v>5.1608</v>
      </c>
      <c r="K229" s="154"/>
    </row>
    <row r="230" ht="24.75">
      <c r="A230" s="151"/>
      <c r="B230" s="157" t="s">
        <v>177</v>
      </c>
      <c r="C230" s="155" t="s">
        <v>524</v>
      </c>
      <c r="D230" s="152"/>
      <c r="E230" s="152"/>
      <c r="F230" s="152"/>
      <c r="G230" s="152"/>
      <c r="H230" s="152"/>
      <c r="I230" s="152"/>
      <c r="J230" s="152"/>
      <c r="K230" s="156"/>
      <c r="BX230" s="155" t="s">
        <v>524</v>
      </c>
    </row>
    <row r="231">
      <c r="A231" s="144" t="s">
        <v>4</v>
      </c>
      <c r="B231" s="145" t="s">
        <v>475</v>
      </c>
      <c r="C231" s="146" t="s">
        <v>525</v>
      </c>
      <c r="D231" s="145"/>
      <c r="E231" s="147" t="s">
        <v>79</v>
      </c>
      <c r="F231" s="147" t="s">
        <v>79</v>
      </c>
      <c r="G231" s="147" t="s">
        <v>79</v>
      </c>
      <c r="H231" s="123">
        <f>SUM(H232:H232)</f>
      </c>
      <c r="I231" s="123">
        <f>SUM(I232:I232)</f>
      </c>
      <c r="J231" s="123">
        <f>SUM(J232:J232)</f>
      </c>
      <c r="K231" s="148" t="s">
        <v>4</v>
      </c>
      <c r="AI231" s="131" t="s">
        <v>103</v>
      </c>
      <c r="AS231" s="123">
        <f>SUM(AJ232:AJ232)</f>
      </c>
      <c r="AT231" s="123">
        <f>SUM(AK232:AK232)</f>
      </c>
      <c r="AU231" s="123">
        <f>SUM(AL232:AL232)</f>
      </c>
    </row>
    <row r="232">
      <c r="A232" s="9" t="s">
        <v>526</v>
      </c>
      <c r="B232" s="10" t="s">
        <v>527</v>
      </c>
      <c r="C232" s="14" t="s">
        <v>528</v>
      </c>
      <c r="D232" s="10"/>
      <c r="E232" s="10" t="s">
        <v>158</v>
      </c>
      <c r="F232" s="116" t="n">
        <v>1004</v>
      </c>
      <c r="G232" s="116" t="n">
        <v>0</v>
      </c>
      <c r="H232" s="116">
        <f>F232*AO232</f>
      </c>
      <c r="I232" s="116">
        <f>F232*AP232</f>
      </c>
      <c r="J232" s="116">
        <f>F232*G232</f>
      </c>
      <c r="K232" s="149" t="s">
        <v>159</v>
      </c>
      <c r="Z232" s="116">
        <f>IF(AQ232="5",BJ232,0)</f>
      </c>
      <c r="AB232" s="116">
        <f>IF(AQ232="1",BH232,0)</f>
      </c>
      <c r="AC232" s="116">
        <f>IF(AQ232="1",BI232,0)</f>
      </c>
      <c r="AD232" s="116">
        <f>IF(AQ232="7",BH232,0)</f>
      </c>
      <c r="AE232" s="116">
        <f>IF(AQ232="7",BI232,0)</f>
      </c>
      <c r="AF232" s="116">
        <f>IF(AQ232="2",BH232,0)</f>
      </c>
      <c r="AG232" s="116">
        <f>IF(AQ232="2",BI232,0)</f>
      </c>
      <c r="AH232" s="116">
        <f>IF(AQ232="0",BJ232,0)</f>
      </c>
      <c r="AI232" s="131" t="s">
        <v>103</v>
      </c>
      <c r="AJ232" s="116">
        <f>IF(AN232=0,J232,0)</f>
      </c>
      <c r="AK232" s="116">
        <f>IF(AN232=12,J232,0)</f>
      </c>
      <c r="AL232" s="116">
        <f>IF(AN232=21,J232,0)</f>
      </c>
      <c r="AN232" s="116" t="n">
        <v>21</v>
      </c>
      <c r="AO232" s="116">
        <f>G232*0</f>
      </c>
      <c r="AP232" s="116">
        <f>G232*(1-0)</f>
      </c>
      <c r="AQ232" s="150" t="s">
        <v>88</v>
      </c>
      <c r="AV232" s="116">
        <f>AW232+AX232</f>
      </c>
      <c r="AW232" s="116">
        <f>F232*AO232</f>
      </c>
      <c r="AX232" s="116">
        <f>F232*AP232</f>
      </c>
      <c r="AY232" s="150" t="s">
        <v>529</v>
      </c>
      <c r="AZ232" s="150" t="s">
        <v>530</v>
      </c>
      <c r="BA232" s="131" t="s">
        <v>288</v>
      </c>
      <c r="BC232" s="116">
        <f>AW232+AX232</f>
      </c>
      <c r="BD232" s="116">
        <f>G232/(100-BE232)*100</f>
      </c>
      <c r="BE232" s="116" t="n">
        <v>0</v>
      </c>
      <c r="BF232" s="116">
        <f>232</f>
      </c>
      <c r="BH232" s="116">
        <f>F232*AO232</f>
      </c>
      <c r="BI232" s="116">
        <f>F232*AP232</f>
      </c>
      <c r="BJ232" s="116">
        <f>F232*G232</f>
      </c>
      <c r="BK232" s="116"/>
      <c r="BL232" s="116" t="n">
        <v>56</v>
      </c>
      <c r="BW232" s="116" t="n">
        <v>21</v>
      </c>
      <c r="BX232" s="14" t="s">
        <v>528</v>
      </c>
    </row>
    <row r="233">
      <c r="A233" s="151"/>
      <c r="C233" s="152" t="s">
        <v>531</v>
      </c>
      <c r="D233" s="152" t="s">
        <v>4</v>
      </c>
      <c r="F233" s="153" t="n">
        <v>1004</v>
      </c>
      <c r="K233" s="154"/>
    </row>
    <row r="234">
      <c r="A234" s="144" t="s">
        <v>4</v>
      </c>
      <c r="B234" s="145" t="s">
        <v>532</v>
      </c>
      <c r="C234" s="146" t="s">
        <v>533</v>
      </c>
      <c r="D234" s="145"/>
      <c r="E234" s="147" t="s">
        <v>79</v>
      </c>
      <c r="F234" s="147" t="s">
        <v>79</v>
      </c>
      <c r="G234" s="147" t="s">
        <v>79</v>
      </c>
      <c r="H234" s="123">
        <f>SUM(H235:H245)</f>
      </c>
      <c r="I234" s="123">
        <f>SUM(I235:I245)</f>
      </c>
      <c r="J234" s="123">
        <f>SUM(J235:J245)</f>
      </c>
      <c r="K234" s="148" t="s">
        <v>4</v>
      </c>
      <c r="AI234" s="131" t="s">
        <v>103</v>
      </c>
      <c r="AS234" s="123">
        <f>SUM(AJ235:AJ245)</f>
      </c>
      <c r="AT234" s="123">
        <f>SUM(AK235:AK245)</f>
      </c>
      <c r="AU234" s="123">
        <f>SUM(AL235:AL245)</f>
      </c>
    </row>
    <row r="235">
      <c r="A235" s="9" t="s">
        <v>534</v>
      </c>
      <c r="B235" s="10" t="s">
        <v>535</v>
      </c>
      <c r="C235" s="14" t="s">
        <v>536</v>
      </c>
      <c r="D235" s="10"/>
      <c r="E235" s="10" t="s">
        <v>158</v>
      </c>
      <c r="F235" s="116" t="n">
        <v>11.5</v>
      </c>
      <c r="G235" s="116" t="n">
        <v>0</v>
      </c>
      <c r="H235" s="116">
        <f>F235*AO235</f>
      </c>
      <c r="I235" s="116">
        <f>F235*AP235</f>
      </c>
      <c r="J235" s="116">
        <f>F235*G235</f>
      </c>
      <c r="K235" s="149" t="s">
        <v>159</v>
      </c>
      <c r="Z235" s="116">
        <f>IF(AQ235="5",BJ235,0)</f>
      </c>
      <c r="AB235" s="116">
        <f>IF(AQ235="1",BH235,0)</f>
      </c>
      <c r="AC235" s="116">
        <f>IF(AQ235="1",BI235,0)</f>
      </c>
      <c r="AD235" s="116">
        <f>IF(AQ235="7",BH235,0)</f>
      </c>
      <c r="AE235" s="116">
        <f>IF(AQ235="7",BI235,0)</f>
      </c>
      <c r="AF235" s="116">
        <f>IF(AQ235="2",BH235,0)</f>
      </c>
      <c r="AG235" s="116">
        <f>IF(AQ235="2",BI235,0)</f>
      </c>
      <c r="AH235" s="116">
        <f>IF(AQ235="0",BJ235,0)</f>
      </c>
      <c r="AI235" s="131" t="s">
        <v>103</v>
      </c>
      <c r="AJ235" s="116">
        <f>IF(AN235=0,J235,0)</f>
      </c>
      <c r="AK235" s="116">
        <f>IF(AN235=12,J235,0)</f>
      </c>
      <c r="AL235" s="116">
        <f>IF(AN235=21,J235,0)</f>
      </c>
      <c r="AN235" s="116" t="n">
        <v>21</v>
      </c>
      <c r="AO235" s="116">
        <f>G235*0.506567238</f>
      </c>
      <c r="AP235" s="116">
        <f>G235*(1-0.506567238)</f>
      </c>
      <c r="AQ235" s="150" t="s">
        <v>199</v>
      </c>
      <c r="AV235" s="116">
        <f>AW235+AX235</f>
      </c>
      <c r="AW235" s="116">
        <f>F235*AO235</f>
      </c>
      <c r="AX235" s="116">
        <f>F235*AP235</f>
      </c>
      <c r="AY235" s="150" t="s">
        <v>537</v>
      </c>
      <c r="AZ235" s="150" t="s">
        <v>538</v>
      </c>
      <c r="BA235" s="131" t="s">
        <v>288</v>
      </c>
      <c r="BC235" s="116">
        <f>AW235+AX235</f>
      </c>
      <c r="BD235" s="116">
        <f>G235/(100-BE235)*100</f>
      </c>
      <c r="BE235" s="116" t="n">
        <v>0</v>
      </c>
      <c r="BF235" s="116">
        <f>235</f>
      </c>
      <c r="BH235" s="116">
        <f>F235*AO235</f>
      </c>
      <c r="BI235" s="116">
        <f>F235*AP235</f>
      </c>
      <c r="BJ235" s="116">
        <f>F235*G235</f>
      </c>
      <c r="BK235" s="116"/>
      <c r="BL235" s="116" t="n">
        <v>711</v>
      </c>
      <c r="BW235" s="116" t="n">
        <v>21</v>
      </c>
      <c r="BX235" s="14" t="s">
        <v>536</v>
      </c>
    </row>
    <row r="236" customHeight="true" ht="13.5">
      <c r="A236" s="151"/>
      <c r="C236" s="155" t="s">
        <v>539</v>
      </c>
      <c r="D236" s="152"/>
      <c r="E236" s="152"/>
      <c r="F236" s="152"/>
      <c r="G236" s="152"/>
      <c r="H236" s="152"/>
      <c r="I236" s="152"/>
      <c r="J236" s="152"/>
      <c r="K236" s="156"/>
    </row>
    <row r="237">
      <c r="A237" s="151"/>
      <c r="C237" s="152" t="s">
        <v>540</v>
      </c>
      <c r="D237" s="152" t="s">
        <v>496</v>
      </c>
      <c r="F237" s="153" t="n">
        <v>9</v>
      </c>
      <c r="K237" s="154"/>
    </row>
    <row r="238">
      <c r="A238" s="151"/>
      <c r="C238" s="152" t="s">
        <v>541</v>
      </c>
      <c r="D238" s="152" t="s">
        <v>542</v>
      </c>
      <c r="F238" s="153" t="n">
        <v>2.5</v>
      </c>
      <c r="K238" s="154"/>
    </row>
    <row r="239" ht="24.75">
      <c r="A239" s="151"/>
      <c r="B239" s="157" t="s">
        <v>177</v>
      </c>
      <c r="C239" s="155" t="s">
        <v>543</v>
      </c>
      <c r="D239" s="152"/>
      <c r="E239" s="152"/>
      <c r="F239" s="152"/>
      <c r="G239" s="152"/>
      <c r="H239" s="152"/>
      <c r="I239" s="152"/>
      <c r="J239" s="152"/>
      <c r="K239" s="156"/>
      <c r="BX239" s="155" t="s">
        <v>543</v>
      </c>
    </row>
    <row r="240">
      <c r="A240" s="9" t="s">
        <v>544</v>
      </c>
      <c r="B240" s="10" t="s">
        <v>545</v>
      </c>
      <c r="C240" s="14" t="s">
        <v>546</v>
      </c>
      <c r="D240" s="10"/>
      <c r="E240" s="10" t="s">
        <v>158</v>
      </c>
      <c r="F240" s="116" t="n">
        <v>4</v>
      </c>
      <c r="G240" s="116" t="n">
        <v>0</v>
      </c>
      <c r="H240" s="116">
        <f>F240*AO240</f>
      </c>
      <c r="I240" s="116">
        <f>F240*AP240</f>
      </c>
      <c r="J240" s="116">
        <f>F240*G240</f>
      </c>
      <c r="K240" s="149" t="s">
        <v>159</v>
      </c>
      <c r="Z240" s="116">
        <f>IF(AQ240="5",BJ240,0)</f>
      </c>
      <c r="AB240" s="116">
        <f>IF(AQ240="1",BH240,0)</f>
      </c>
      <c r="AC240" s="116">
        <f>IF(AQ240="1",BI240,0)</f>
      </c>
      <c r="AD240" s="116">
        <f>IF(AQ240="7",BH240,0)</f>
      </c>
      <c r="AE240" s="116">
        <f>IF(AQ240="7",BI240,0)</f>
      </c>
      <c r="AF240" s="116">
        <f>IF(AQ240="2",BH240,0)</f>
      </c>
      <c r="AG240" s="116">
        <f>IF(AQ240="2",BI240,0)</f>
      </c>
      <c r="AH240" s="116">
        <f>IF(AQ240="0",BJ240,0)</f>
      </c>
      <c r="AI240" s="131" t="s">
        <v>103</v>
      </c>
      <c r="AJ240" s="116">
        <f>IF(AN240=0,J240,0)</f>
      </c>
      <c r="AK240" s="116">
        <f>IF(AN240=12,J240,0)</f>
      </c>
      <c r="AL240" s="116">
        <f>IF(AN240=21,J240,0)</f>
      </c>
      <c r="AN240" s="116" t="n">
        <v>21</v>
      </c>
      <c r="AO240" s="116">
        <f>G240*0.485588235</f>
      </c>
      <c r="AP240" s="116">
        <f>G240*(1-0.485588235)</f>
      </c>
      <c r="AQ240" s="150" t="s">
        <v>199</v>
      </c>
      <c r="AV240" s="116">
        <f>AW240+AX240</f>
      </c>
      <c r="AW240" s="116">
        <f>F240*AO240</f>
      </c>
      <c r="AX240" s="116">
        <f>F240*AP240</f>
      </c>
      <c r="AY240" s="150" t="s">
        <v>537</v>
      </c>
      <c r="AZ240" s="150" t="s">
        <v>538</v>
      </c>
      <c r="BA240" s="131" t="s">
        <v>288</v>
      </c>
      <c r="BC240" s="116">
        <f>AW240+AX240</f>
      </c>
      <c r="BD240" s="116">
        <f>G240/(100-BE240)*100</f>
      </c>
      <c r="BE240" s="116" t="n">
        <v>0</v>
      </c>
      <c r="BF240" s="116">
        <f>240</f>
      </c>
      <c r="BH240" s="116">
        <f>F240*AO240</f>
      </c>
      <c r="BI240" s="116">
        <f>F240*AP240</f>
      </c>
      <c r="BJ240" s="116">
        <f>F240*G240</f>
      </c>
      <c r="BK240" s="116"/>
      <c r="BL240" s="116" t="n">
        <v>711</v>
      </c>
      <c r="BW240" s="116" t="n">
        <v>21</v>
      </c>
      <c r="BX240" s="14" t="s">
        <v>546</v>
      </c>
    </row>
    <row r="241" customHeight="true" ht="13.5">
      <c r="A241" s="151"/>
      <c r="C241" s="155" t="s">
        <v>539</v>
      </c>
      <c r="D241" s="152"/>
      <c r="E241" s="152"/>
      <c r="F241" s="152"/>
      <c r="G241" s="152"/>
      <c r="H241" s="152"/>
      <c r="I241" s="152"/>
      <c r="J241" s="152"/>
      <c r="K241" s="156"/>
    </row>
    <row r="242">
      <c r="A242" s="151"/>
      <c r="C242" s="152" t="s">
        <v>495</v>
      </c>
      <c r="D242" s="152" t="s">
        <v>496</v>
      </c>
      <c r="F242" s="153" t="n">
        <v>3</v>
      </c>
      <c r="K242" s="154"/>
    </row>
    <row r="243">
      <c r="A243" s="151"/>
      <c r="C243" s="152" t="s">
        <v>88</v>
      </c>
      <c r="D243" s="152" t="s">
        <v>542</v>
      </c>
      <c r="F243" s="153" t="n">
        <v>1</v>
      </c>
      <c r="K243" s="154"/>
    </row>
    <row r="244" ht="24.75">
      <c r="A244" s="151"/>
      <c r="B244" s="157" t="s">
        <v>177</v>
      </c>
      <c r="C244" s="155" t="s">
        <v>547</v>
      </c>
      <c r="D244" s="152"/>
      <c r="E244" s="152"/>
      <c r="F244" s="152"/>
      <c r="G244" s="152"/>
      <c r="H244" s="152"/>
      <c r="I244" s="152"/>
      <c r="J244" s="152"/>
      <c r="K244" s="156"/>
      <c r="BX244" s="155" t="s">
        <v>547</v>
      </c>
    </row>
    <row r="245">
      <c r="A245" s="9" t="s">
        <v>548</v>
      </c>
      <c r="B245" s="10" t="s">
        <v>549</v>
      </c>
      <c r="C245" s="14" t="s">
        <v>550</v>
      </c>
      <c r="D245" s="10"/>
      <c r="E245" s="10" t="s">
        <v>158</v>
      </c>
      <c r="F245" s="116" t="n">
        <v>15.5</v>
      </c>
      <c r="G245" s="116" t="n">
        <v>0</v>
      </c>
      <c r="H245" s="116">
        <f>F245*AO245</f>
      </c>
      <c r="I245" s="116">
        <f>F245*AP245</f>
      </c>
      <c r="J245" s="116">
        <f>F245*G245</f>
      </c>
      <c r="K245" s="149" t="s">
        <v>159</v>
      </c>
      <c r="Z245" s="116">
        <f>IF(AQ245="5",BJ245,0)</f>
      </c>
      <c r="AB245" s="116">
        <f>IF(AQ245="1",BH245,0)</f>
      </c>
      <c r="AC245" s="116">
        <f>IF(AQ245="1",BI245,0)</f>
      </c>
      <c r="AD245" s="116">
        <f>IF(AQ245="7",BH245,0)</f>
      </c>
      <c r="AE245" s="116">
        <f>IF(AQ245="7",BI245,0)</f>
      </c>
      <c r="AF245" s="116">
        <f>IF(AQ245="2",BH245,0)</f>
      </c>
      <c r="AG245" s="116">
        <f>IF(AQ245="2",BI245,0)</f>
      </c>
      <c r="AH245" s="116">
        <f>IF(AQ245="0",BJ245,0)</f>
      </c>
      <c r="AI245" s="131" t="s">
        <v>103</v>
      </c>
      <c r="AJ245" s="116">
        <f>IF(AN245=0,J245,0)</f>
      </c>
      <c r="AK245" s="116">
        <f>IF(AN245=12,J245,0)</f>
      </c>
      <c r="AL245" s="116">
        <f>IF(AN245=21,J245,0)</f>
      </c>
      <c r="AN245" s="116" t="n">
        <v>21</v>
      </c>
      <c r="AO245" s="116">
        <f>G245*0</f>
      </c>
      <c r="AP245" s="116">
        <f>G245*(1-0)</f>
      </c>
      <c r="AQ245" s="150" t="s">
        <v>199</v>
      </c>
      <c r="AV245" s="116">
        <f>AW245+AX245</f>
      </c>
      <c r="AW245" s="116">
        <f>F245*AO245</f>
      </c>
      <c r="AX245" s="116">
        <f>F245*AP245</f>
      </c>
      <c r="AY245" s="150" t="s">
        <v>537</v>
      </c>
      <c r="AZ245" s="150" t="s">
        <v>538</v>
      </c>
      <c r="BA245" s="131" t="s">
        <v>288</v>
      </c>
      <c r="BC245" s="116">
        <f>AW245+AX245</f>
      </c>
      <c r="BD245" s="116">
        <f>G245/(100-BE245)*100</f>
      </c>
      <c r="BE245" s="116" t="n">
        <v>0</v>
      </c>
      <c r="BF245" s="116">
        <f>245</f>
      </c>
      <c r="BH245" s="116">
        <f>F245*AO245</f>
      </c>
      <c r="BI245" s="116">
        <f>F245*AP245</f>
      </c>
      <c r="BJ245" s="116">
        <f>F245*G245</f>
      </c>
      <c r="BK245" s="116"/>
      <c r="BL245" s="116" t="n">
        <v>711</v>
      </c>
      <c r="BW245" s="116" t="n">
        <v>21</v>
      </c>
      <c r="BX245" s="14" t="s">
        <v>550</v>
      </c>
    </row>
    <row r="246">
      <c r="A246" s="151"/>
      <c r="C246" s="152" t="s">
        <v>551</v>
      </c>
      <c r="D246" s="152" t="s">
        <v>4</v>
      </c>
      <c r="F246" s="153" t="n">
        <v>15.5</v>
      </c>
      <c r="K246" s="154"/>
    </row>
    <row r="247">
      <c r="A247" s="151"/>
      <c r="B247" s="157" t="s">
        <v>177</v>
      </c>
      <c r="C247" s="155" t="s">
        <v>552</v>
      </c>
      <c r="D247" s="152"/>
      <c r="E247" s="152"/>
      <c r="F247" s="152"/>
      <c r="G247" s="152"/>
      <c r="H247" s="152"/>
      <c r="I247" s="152"/>
      <c r="J247" s="152"/>
      <c r="K247" s="156"/>
      <c r="BX247" s="155" t="s">
        <v>552</v>
      </c>
    </row>
    <row r="248">
      <c r="A248" s="144" t="s">
        <v>4</v>
      </c>
      <c r="B248" s="145" t="s">
        <v>553</v>
      </c>
      <c r="C248" s="146" t="s">
        <v>554</v>
      </c>
      <c r="D248" s="145"/>
      <c r="E248" s="147" t="s">
        <v>79</v>
      </c>
      <c r="F248" s="147" t="s">
        <v>79</v>
      </c>
      <c r="G248" s="147" t="s">
        <v>79</v>
      </c>
      <c r="H248" s="123">
        <f>SUM(H249:H261)</f>
      </c>
      <c r="I248" s="123">
        <f>SUM(I249:I261)</f>
      </c>
      <c r="J248" s="123">
        <f>SUM(J249:J261)</f>
      </c>
      <c r="K248" s="148" t="s">
        <v>4</v>
      </c>
      <c r="AI248" s="131" t="s">
        <v>103</v>
      </c>
      <c r="AS248" s="123">
        <f>SUM(AJ249:AJ261)</f>
      </c>
      <c r="AT248" s="123">
        <f>SUM(AK249:AK261)</f>
      </c>
      <c r="AU248" s="123">
        <f>SUM(AL249:AL261)</f>
      </c>
    </row>
    <row r="249">
      <c r="A249" s="9" t="s">
        <v>555</v>
      </c>
      <c r="B249" s="10" t="s">
        <v>556</v>
      </c>
      <c r="C249" s="14" t="s">
        <v>557</v>
      </c>
      <c r="D249" s="10"/>
      <c r="E249" s="10" t="s">
        <v>216</v>
      </c>
      <c r="F249" s="116" t="n">
        <v>492</v>
      </c>
      <c r="G249" s="116" t="n">
        <v>0</v>
      </c>
      <c r="H249" s="116">
        <f>F249*AO249</f>
      </c>
      <c r="I249" s="116">
        <f>F249*AP249</f>
      </c>
      <c r="J249" s="116">
        <f>F249*G249</f>
      </c>
      <c r="K249" s="149" t="s">
        <v>159</v>
      </c>
      <c r="Z249" s="116">
        <f>IF(AQ249="5",BJ249,0)</f>
      </c>
      <c r="AB249" s="116">
        <f>IF(AQ249="1",BH249,0)</f>
      </c>
      <c r="AC249" s="116">
        <f>IF(AQ249="1",BI249,0)</f>
      </c>
      <c r="AD249" s="116">
        <f>IF(AQ249="7",BH249,0)</f>
      </c>
      <c r="AE249" s="116">
        <f>IF(AQ249="7",BI249,0)</f>
      </c>
      <c r="AF249" s="116">
        <f>IF(AQ249="2",BH249,0)</f>
      </c>
      <c r="AG249" s="116">
        <f>IF(AQ249="2",BI249,0)</f>
      </c>
      <c r="AH249" s="116">
        <f>IF(AQ249="0",BJ249,0)</f>
      </c>
      <c r="AI249" s="131" t="s">
        <v>103</v>
      </c>
      <c r="AJ249" s="116">
        <f>IF(AN249=0,J249,0)</f>
      </c>
      <c r="AK249" s="116">
        <f>IF(AN249=12,J249,0)</f>
      </c>
      <c r="AL249" s="116">
        <f>IF(AN249=21,J249,0)</f>
      </c>
      <c r="AN249" s="116" t="n">
        <v>21</v>
      </c>
      <c r="AO249" s="116">
        <f>G249*0</f>
      </c>
      <c r="AP249" s="116">
        <f>G249*(1-0)</f>
      </c>
      <c r="AQ249" s="150" t="s">
        <v>88</v>
      </c>
      <c r="AV249" s="116">
        <f>AW249+AX249</f>
      </c>
      <c r="AW249" s="116">
        <f>F249*AO249</f>
      </c>
      <c r="AX249" s="116">
        <f>F249*AP249</f>
      </c>
      <c r="AY249" s="150" t="s">
        <v>558</v>
      </c>
      <c r="AZ249" s="150" t="s">
        <v>559</v>
      </c>
      <c r="BA249" s="131" t="s">
        <v>288</v>
      </c>
      <c r="BC249" s="116">
        <f>AW249+AX249</f>
      </c>
      <c r="BD249" s="116">
        <f>G249/(100-BE249)*100</f>
      </c>
      <c r="BE249" s="116" t="n">
        <v>0</v>
      </c>
      <c r="BF249" s="116">
        <f>249</f>
      </c>
      <c r="BH249" s="116">
        <f>F249*AO249</f>
      </c>
      <c r="BI249" s="116">
        <f>F249*AP249</f>
      </c>
      <c r="BJ249" s="116">
        <f>F249*G249</f>
      </c>
      <c r="BK249" s="116"/>
      <c r="BL249" s="116" t="n">
        <v>87</v>
      </c>
      <c r="BW249" s="116" t="n">
        <v>21</v>
      </c>
      <c r="BX249" s="14" t="s">
        <v>557</v>
      </c>
    </row>
    <row r="250">
      <c r="A250" s="151"/>
      <c r="C250" s="152" t="s">
        <v>330</v>
      </c>
      <c r="D250" s="152" t="s">
        <v>560</v>
      </c>
      <c r="F250" s="153" t="n">
        <v>492</v>
      </c>
      <c r="K250" s="154"/>
    </row>
    <row r="251">
      <c r="A251" s="9" t="s">
        <v>561</v>
      </c>
      <c r="B251" s="10" t="s">
        <v>562</v>
      </c>
      <c r="C251" s="14" t="s">
        <v>563</v>
      </c>
      <c r="D251" s="10"/>
      <c r="E251" s="10" t="s">
        <v>216</v>
      </c>
      <c r="F251" s="116" t="n">
        <v>106</v>
      </c>
      <c r="G251" s="116" t="n">
        <v>0</v>
      </c>
      <c r="H251" s="116">
        <f>F251*AO251</f>
      </c>
      <c r="I251" s="116">
        <f>F251*AP251</f>
      </c>
      <c r="J251" s="116">
        <f>F251*G251</f>
      </c>
      <c r="K251" s="149" t="s">
        <v>159</v>
      </c>
      <c r="Z251" s="116">
        <f>IF(AQ251="5",BJ251,0)</f>
      </c>
      <c r="AB251" s="116">
        <f>IF(AQ251="1",BH251,0)</f>
      </c>
      <c r="AC251" s="116">
        <f>IF(AQ251="1",BI251,0)</f>
      </c>
      <c r="AD251" s="116">
        <f>IF(AQ251="7",BH251,0)</f>
      </c>
      <c r="AE251" s="116">
        <f>IF(AQ251="7",BI251,0)</f>
      </c>
      <c r="AF251" s="116">
        <f>IF(AQ251="2",BH251,0)</f>
      </c>
      <c r="AG251" s="116">
        <f>IF(AQ251="2",BI251,0)</f>
      </c>
      <c r="AH251" s="116">
        <f>IF(AQ251="0",BJ251,0)</f>
      </c>
      <c r="AI251" s="131" t="s">
        <v>103</v>
      </c>
      <c r="AJ251" s="116">
        <f>IF(AN251=0,J251,0)</f>
      </c>
      <c r="AK251" s="116">
        <f>IF(AN251=12,J251,0)</f>
      </c>
      <c r="AL251" s="116">
        <f>IF(AN251=21,J251,0)</f>
      </c>
      <c r="AN251" s="116" t="n">
        <v>21</v>
      </c>
      <c r="AO251" s="116">
        <f>G251*0.005704913</f>
      </c>
      <c r="AP251" s="116">
        <f>G251*(1-0.005704913)</f>
      </c>
      <c r="AQ251" s="150" t="s">
        <v>88</v>
      </c>
      <c r="AV251" s="116">
        <f>AW251+AX251</f>
      </c>
      <c r="AW251" s="116">
        <f>F251*AO251</f>
      </c>
      <c r="AX251" s="116">
        <f>F251*AP251</f>
      </c>
      <c r="AY251" s="150" t="s">
        <v>558</v>
      </c>
      <c r="AZ251" s="150" t="s">
        <v>559</v>
      </c>
      <c r="BA251" s="131" t="s">
        <v>288</v>
      </c>
      <c r="BC251" s="116">
        <f>AW251+AX251</f>
      </c>
      <c r="BD251" s="116">
        <f>G251/(100-BE251)*100</f>
      </c>
      <c r="BE251" s="116" t="n">
        <v>0</v>
      </c>
      <c r="BF251" s="116">
        <f>251</f>
      </c>
      <c r="BH251" s="116">
        <f>F251*AO251</f>
      </c>
      <c r="BI251" s="116">
        <f>F251*AP251</f>
      </c>
      <c r="BJ251" s="116">
        <f>F251*G251</f>
      </c>
      <c r="BK251" s="116"/>
      <c r="BL251" s="116" t="n">
        <v>87</v>
      </c>
      <c r="BW251" s="116" t="n">
        <v>21</v>
      </c>
      <c r="BX251" s="14" t="s">
        <v>563</v>
      </c>
    </row>
    <row r="252">
      <c r="A252" s="151"/>
      <c r="C252" s="152" t="s">
        <v>104</v>
      </c>
      <c r="D252" s="152" t="s">
        <v>564</v>
      </c>
      <c r="F252" s="153" t="n">
        <v>2</v>
      </c>
      <c r="K252" s="154"/>
    </row>
    <row r="253">
      <c r="A253" s="151"/>
      <c r="C253" s="152" t="s">
        <v>565</v>
      </c>
      <c r="D253" s="152" t="s">
        <v>566</v>
      </c>
      <c r="F253" s="153" t="n">
        <v>104</v>
      </c>
      <c r="K253" s="154"/>
    </row>
    <row r="254" ht="24.75">
      <c r="A254" s="151"/>
      <c r="B254" s="157" t="s">
        <v>177</v>
      </c>
      <c r="C254" s="155" t="s">
        <v>567</v>
      </c>
      <c r="D254" s="152"/>
      <c r="E254" s="152"/>
      <c r="F254" s="152"/>
      <c r="G254" s="152"/>
      <c r="H254" s="152"/>
      <c r="I254" s="152"/>
      <c r="J254" s="152"/>
      <c r="K254" s="156"/>
      <c r="BX254" s="155" t="s">
        <v>567</v>
      </c>
    </row>
    <row r="255">
      <c r="A255" s="9" t="s">
        <v>568</v>
      </c>
      <c r="B255" s="10" t="s">
        <v>569</v>
      </c>
      <c r="C255" s="14" t="s">
        <v>570</v>
      </c>
      <c r="D255" s="10"/>
      <c r="E255" s="10" t="s">
        <v>463</v>
      </c>
      <c r="F255" s="116" t="n">
        <v>96</v>
      </c>
      <c r="G255" s="116" t="n">
        <v>0</v>
      </c>
      <c r="H255" s="116">
        <f>F255*AO255</f>
      </c>
      <c r="I255" s="116">
        <f>F255*AP255</f>
      </c>
      <c r="J255" s="116">
        <f>F255*G255</f>
      </c>
      <c r="K255" s="149" t="s">
        <v>159</v>
      </c>
      <c r="Z255" s="116">
        <f>IF(AQ255="5",BJ255,0)</f>
      </c>
      <c r="AB255" s="116">
        <f>IF(AQ255="1",BH255,0)</f>
      </c>
      <c r="AC255" s="116">
        <f>IF(AQ255="1",BI255,0)</f>
      </c>
      <c r="AD255" s="116">
        <f>IF(AQ255="7",BH255,0)</f>
      </c>
      <c r="AE255" s="116">
        <f>IF(AQ255="7",BI255,0)</f>
      </c>
      <c r="AF255" s="116">
        <f>IF(AQ255="2",BH255,0)</f>
      </c>
      <c r="AG255" s="116">
        <f>IF(AQ255="2",BI255,0)</f>
      </c>
      <c r="AH255" s="116">
        <f>IF(AQ255="0",BJ255,0)</f>
      </c>
      <c r="AI255" s="131" t="s">
        <v>103</v>
      </c>
      <c r="AJ255" s="116">
        <f>IF(AN255=0,J255,0)</f>
      </c>
      <c r="AK255" s="116">
        <f>IF(AN255=12,J255,0)</f>
      </c>
      <c r="AL255" s="116">
        <f>IF(AN255=21,J255,0)</f>
      </c>
      <c r="AN255" s="116" t="n">
        <v>21</v>
      </c>
      <c r="AO255" s="116">
        <f>G255*0.006604992</f>
      </c>
      <c r="AP255" s="116">
        <f>G255*(1-0.006604992)</f>
      </c>
      <c r="AQ255" s="150" t="s">
        <v>88</v>
      </c>
      <c r="AV255" s="116">
        <f>AW255+AX255</f>
      </c>
      <c r="AW255" s="116">
        <f>F255*AO255</f>
      </c>
      <c r="AX255" s="116">
        <f>F255*AP255</f>
      </c>
      <c r="AY255" s="150" t="s">
        <v>558</v>
      </c>
      <c r="AZ255" s="150" t="s">
        <v>559</v>
      </c>
      <c r="BA255" s="131" t="s">
        <v>288</v>
      </c>
      <c r="BC255" s="116">
        <f>AW255+AX255</f>
      </c>
      <c r="BD255" s="116">
        <f>G255/(100-BE255)*100</f>
      </c>
      <c r="BE255" s="116" t="n">
        <v>0</v>
      </c>
      <c r="BF255" s="116">
        <f>255</f>
      </c>
      <c r="BH255" s="116">
        <f>F255*AO255</f>
      </c>
      <c r="BI255" s="116">
        <f>F255*AP255</f>
      </c>
      <c r="BJ255" s="116">
        <f>F255*G255</f>
      </c>
      <c r="BK255" s="116"/>
      <c r="BL255" s="116" t="n">
        <v>87</v>
      </c>
      <c r="BW255" s="116" t="n">
        <v>21</v>
      </c>
      <c r="BX255" s="14" t="s">
        <v>570</v>
      </c>
    </row>
    <row r="256">
      <c r="A256" s="151"/>
      <c r="C256" s="152" t="s">
        <v>571</v>
      </c>
      <c r="D256" s="152" t="s">
        <v>4</v>
      </c>
      <c r="F256" s="153" t="n">
        <v>96</v>
      </c>
      <c r="K256" s="154"/>
    </row>
    <row r="257" ht="24.75">
      <c r="A257" s="151"/>
      <c r="B257" s="157" t="s">
        <v>177</v>
      </c>
      <c r="C257" s="155" t="s">
        <v>572</v>
      </c>
      <c r="D257" s="152"/>
      <c r="E257" s="152"/>
      <c r="F257" s="152"/>
      <c r="G257" s="152"/>
      <c r="H257" s="152"/>
      <c r="I257" s="152"/>
      <c r="J257" s="152"/>
      <c r="K257" s="156"/>
      <c r="BX257" s="155" t="s">
        <v>572</v>
      </c>
    </row>
    <row r="258">
      <c r="A258" s="9" t="s">
        <v>108</v>
      </c>
      <c r="B258" s="10" t="s">
        <v>573</v>
      </c>
      <c r="C258" s="14" t="s">
        <v>574</v>
      </c>
      <c r="D258" s="10"/>
      <c r="E258" s="10" t="s">
        <v>463</v>
      </c>
      <c r="F258" s="116" t="n">
        <v>24</v>
      </c>
      <c r="G258" s="116" t="n">
        <v>0</v>
      </c>
      <c r="H258" s="116">
        <f>F258*AO258</f>
      </c>
      <c r="I258" s="116">
        <f>F258*AP258</f>
      </c>
      <c r="J258" s="116">
        <f>F258*G258</f>
      </c>
      <c r="K258" s="149" t="s">
        <v>159</v>
      </c>
      <c r="Z258" s="116">
        <f>IF(AQ258="5",BJ258,0)</f>
      </c>
      <c r="AB258" s="116">
        <f>IF(AQ258="1",BH258,0)</f>
      </c>
      <c r="AC258" s="116">
        <f>IF(AQ258="1",BI258,0)</f>
      </c>
      <c r="AD258" s="116">
        <f>IF(AQ258="7",BH258,0)</f>
      </c>
      <c r="AE258" s="116">
        <f>IF(AQ258="7",BI258,0)</f>
      </c>
      <c r="AF258" s="116">
        <f>IF(AQ258="2",BH258,0)</f>
      </c>
      <c r="AG258" s="116">
        <f>IF(AQ258="2",BI258,0)</f>
      </c>
      <c r="AH258" s="116">
        <f>IF(AQ258="0",BJ258,0)</f>
      </c>
      <c r="AI258" s="131" t="s">
        <v>103</v>
      </c>
      <c r="AJ258" s="116">
        <f>IF(AN258=0,J258,0)</f>
      </c>
      <c r="AK258" s="116">
        <f>IF(AN258=12,J258,0)</f>
      </c>
      <c r="AL258" s="116">
        <f>IF(AN258=21,J258,0)</f>
      </c>
      <c r="AN258" s="116" t="n">
        <v>21</v>
      </c>
      <c r="AO258" s="116">
        <f>G258*0.007336343</f>
      </c>
      <c r="AP258" s="116">
        <f>G258*(1-0.007336343)</f>
      </c>
      <c r="AQ258" s="150" t="s">
        <v>88</v>
      </c>
      <c r="AV258" s="116">
        <f>AW258+AX258</f>
      </c>
      <c r="AW258" s="116">
        <f>F258*AO258</f>
      </c>
      <c r="AX258" s="116">
        <f>F258*AP258</f>
      </c>
      <c r="AY258" s="150" t="s">
        <v>558</v>
      </c>
      <c r="AZ258" s="150" t="s">
        <v>559</v>
      </c>
      <c r="BA258" s="131" t="s">
        <v>288</v>
      </c>
      <c r="BC258" s="116">
        <f>AW258+AX258</f>
      </c>
      <c r="BD258" s="116">
        <f>G258/(100-BE258)*100</f>
      </c>
      <c r="BE258" s="116" t="n">
        <v>0</v>
      </c>
      <c r="BF258" s="116">
        <f>258</f>
      </c>
      <c r="BH258" s="116">
        <f>F258*AO258</f>
      </c>
      <c r="BI258" s="116">
        <f>F258*AP258</f>
      </c>
      <c r="BJ258" s="116">
        <f>F258*G258</f>
      </c>
      <c r="BK258" s="116"/>
      <c r="BL258" s="116" t="n">
        <v>87</v>
      </c>
      <c r="BW258" s="116" t="n">
        <v>21</v>
      </c>
      <c r="BX258" s="14" t="s">
        <v>574</v>
      </c>
    </row>
    <row r="259">
      <c r="A259" s="151"/>
      <c r="C259" s="152" t="s">
        <v>310</v>
      </c>
      <c r="D259" s="152" t="s">
        <v>560</v>
      </c>
      <c r="F259" s="153" t="n">
        <v>24</v>
      </c>
      <c r="K259" s="154"/>
    </row>
    <row r="260" ht="24.75">
      <c r="A260" s="151"/>
      <c r="B260" s="157" t="s">
        <v>177</v>
      </c>
      <c r="C260" s="155" t="s">
        <v>572</v>
      </c>
      <c r="D260" s="152"/>
      <c r="E260" s="152"/>
      <c r="F260" s="152"/>
      <c r="G260" s="152"/>
      <c r="H260" s="152"/>
      <c r="I260" s="152"/>
      <c r="J260" s="152"/>
      <c r="K260" s="156"/>
      <c r="BX260" s="155" t="s">
        <v>572</v>
      </c>
    </row>
    <row r="261">
      <c r="A261" s="9" t="s">
        <v>575</v>
      </c>
      <c r="B261" s="10" t="s">
        <v>576</v>
      </c>
      <c r="C261" s="14" t="s">
        <v>577</v>
      </c>
      <c r="D261" s="10"/>
      <c r="E261" s="10" t="s">
        <v>463</v>
      </c>
      <c r="F261" s="116" t="n">
        <v>24</v>
      </c>
      <c r="G261" s="116" t="n">
        <v>0</v>
      </c>
      <c r="H261" s="116">
        <f>F261*AO261</f>
      </c>
      <c r="I261" s="116">
        <f>F261*AP261</f>
      </c>
      <c r="J261" s="116">
        <f>F261*G261</f>
      </c>
      <c r="K261" s="149" t="s">
        <v>159</v>
      </c>
      <c r="Z261" s="116">
        <f>IF(AQ261="5",BJ261,0)</f>
      </c>
      <c r="AB261" s="116">
        <f>IF(AQ261="1",BH261,0)</f>
      </c>
      <c r="AC261" s="116">
        <f>IF(AQ261="1",BI261,0)</f>
      </c>
      <c r="AD261" s="116">
        <f>IF(AQ261="7",BH261,0)</f>
      </c>
      <c r="AE261" s="116">
        <f>IF(AQ261="7",BI261,0)</f>
      </c>
      <c r="AF261" s="116">
        <f>IF(AQ261="2",BH261,0)</f>
      </c>
      <c r="AG261" s="116">
        <f>IF(AQ261="2",BI261,0)</f>
      </c>
      <c r="AH261" s="116">
        <f>IF(AQ261="0",BJ261,0)</f>
      </c>
      <c r="AI261" s="131" t="s">
        <v>103</v>
      </c>
      <c r="AJ261" s="116">
        <f>IF(AN261=0,J261,0)</f>
      </c>
      <c r="AK261" s="116">
        <f>IF(AN261=12,J261,0)</f>
      </c>
      <c r="AL261" s="116">
        <f>IF(AN261=21,J261,0)</f>
      </c>
      <c r="AN261" s="116" t="n">
        <v>21</v>
      </c>
      <c r="AO261" s="116">
        <f>G261*0.008540541</f>
      </c>
      <c r="AP261" s="116">
        <f>G261*(1-0.008540541)</f>
      </c>
      <c r="AQ261" s="150" t="s">
        <v>88</v>
      </c>
      <c r="AV261" s="116">
        <f>AW261+AX261</f>
      </c>
      <c r="AW261" s="116">
        <f>F261*AO261</f>
      </c>
      <c r="AX261" s="116">
        <f>F261*AP261</f>
      </c>
      <c r="AY261" s="150" t="s">
        <v>558</v>
      </c>
      <c r="AZ261" s="150" t="s">
        <v>559</v>
      </c>
      <c r="BA261" s="131" t="s">
        <v>288</v>
      </c>
      <c r="BC261" s="116">
        <f>AW261+AX261</f>
      </c>
      <c r="BD261" s="116">
        <f>G261/(100-BE261)*100</f>
      </c>
      <c r="BE261" s="116" t="n">
        <v>0</v>
      </c>
      <c r="BF261" s="116">
        <f>261</f>
      </c>
      <c r="BH261" s="116">
        <f>F261*AO261</f>
      </c>
      <c r="BI261" s="116">
        <f>F261*AP261</f>
      </c>
      <c r="BJ261" s="116">
        <f>F261*G261</f>
      </c>
      <c r="BK261" s="116"/>
      <c r="BL261" s="116" t="n">
        <v>87</v>
      </c>
      <c r="BW261" s="116" t="n">
        <v>21</v>
      </c>
      <c r="BX261" s="14" t="s">
        <v>577</v>
      </c>
    </row>
    <row r="262">
      <c r="A262" s="151"/>
      <c r="C262" s="152" t="s">
        <v>310</v>
      </c>
      <c r="D262" s="152" t="s">
        <v>4</v>
      </c>
      <c r="F262" s="153" t="n">
        <v>24</v>
      </c>
      <c r="K262" s="154"/>
    </row>
    <row r="263" ht="24.75">
      <c r="A263" s="151"/>
      <c r="B263" s="157" t="s">
        <v>177</v>
      </c>
      <c r="C263" s="155" t="s">
        <v>578</v>
      </c>
      <c r="D263" s="152"/>
      <c r="E263" s="152"/>
      <c r="F263" s="152"/>
      <c r="G263" s="152"/>
      <c r="H263" s="152"/>
      <c r="I263" s="152"/>
      <c r="J263" s="152"/>
      <c r="K263" s="156"/>
      <c r="BX263" s="155" t="s">
        <v>578</v>
      </c>
    </row>
    <row r="264">
      <c r="A264" s="144" t="s">
        <v>4</v>
      </c>
      <c r="B264" s="145" t="s">
        <v>579</v>
      </c>
      <c r="C264" s="146" t="s">
        <v>580</v>
      </c>
      <c r="D264" s="145"/>
      <c r="E264" s="147" t="s">
        <v>79</v>
      </c>
      <c r="F264" s="147" t="s">
        <v>79</v>
      </c>
      <c r="G264" s="147" t="s">
        <v>79</v>
      </c>
      <c r="H264" s="123">
        <f>SUM(H265:H304)</f>
      </c>
      <c r="I264" s="123">
        <f>SUM(I265:I304)</f>
      </c>
      <c r="J264" s="123">
        <f>SUM(J265:J304)</f>
      </c>
      <c r="K264" s="148" t="s">
        <v>4</v>
      </c>
      <c r="AI264" s="131" t="s">
        <v>103</v>
      </c>
      <c r="AS264" s="123">
        <f>SUM(AJ265:AJ304)</f>
      </c>
      <c r="AT264" s="123">
        <f>SUM(AK265:AK304)</f>
      </c>
      <c r="AU264" s="123">
        <f>SUM(AL265:AL304)</f>
      </c>
    </row>
    <row r="265">
      <c r="A265" s="9" t="s">
        <v>114</v>
      </c>
      <c r="B265" s="10" t="s">
        <v>581</v>
      </c>
      <c r="C265" s="14" t="s">
        <v>582</v>
      </c>
      <c r="D265" s="10"/>
      <c r="E265" s="10" t="s">
        <v>463</v>
      </c>
      <c r="F265" s="116" t="n">
        <v>1</v>
      </c>
      <c r="G265" s="116" t="n">
        <v>0</v>
      </c>
      <c r="H265" s="116">
        <f>F265*AO265</f>
      </c>
      <c r="I265" s="116">
        <f>F265*AP265</f>
      </c>
      <c r="J265" s="116">
        <f>F265*G265</f>
      </c>
      <c r="K265" s="149" t="s">
        <v>159</v>
      </c>
      <c r="Z265" s="116">
        <f>IF(AQ265="5",BJ265,0)</f>
      </c>
      <c r="AB265" s="116">
        <f>IF(AQ265="1",BH265,0)</f>
      </c>
      <c r="AC265" s="116">
        <f>IF(AQ265="1",BI265,0)</f>
      </c>
      <c r="AD265" s="116">
        <f>IF(AQ265="7",BH265,0)</f>
      </c>
      <c r="AE265" s="116">
        <f>IF(AQ265="7",BI265,0)</f>
      </c>
      <c r="AF265" s="116">
        <f>IF(AQ265="2",BH265,0)</f>
      </c>
      <c r="AG265" s="116">
        <f>IF(AQ265="2",BI265,0)</f>
      </c>
      <c r="AH265" s="116">
        <f>IF(AQ265="0",BJ265,0)</f>
      </c>
      <c r="AI265" s="131" t="s">
        <v>103</v>
      </c>
      <c r="AJ265" s="116">
        <f>IF(AN265=0,J265,0)</f>
      </c>
      <c r="AK265" s="116">
        <f>IF(AN265=12,J265,0)</f>
      </c>
      <c r="AL265" s="116">
        <f>IF(AN265=21,J265,0)</f>
      </c>
      <c r="AN265" s="116" t="n">
        <v>21</v>
      </c>
      <c r="AO265" s="116">
        <f>G265*0.082587646</f>
      </c>
      <c r="AP265" s="116">
        <f>G265*(1-0.082587646)</f>
      </c>
      <c r="AQ265" s="150" t="s">
        <v>88</v>
      </c>
      <c r="AV265" s="116">
        <f>AW265+AX265</f>
      </c>
      <c r="AW265" s="116">
        <f>F265*AO265</f>
      </c>
      <c r="AX265" s="116">
        <f>F265*AP265</f>
      </c>
      <c r="AY265" s="150" t="s">
        <v>583</v>
      </c>
      <c r="AZ265" s="150" t="s">
        <v>559</v>
      </c>
      <c r="BA265" s="131" t="s">
        <v>288</v>
      </c>
      <c r="BC265" s="116">
        <f>AW265+AX265</f>
      </c>
      <c r="BD265" s="116">
        <f>G265/(100-BE265)*100</f>
      </c>
      <c r="BE265" s="116" t="n">
        <v>0</v>
      </c>
      <c r="BF265" s="116">
        <f>265</f>
      </c>
      <c r="BH265" s="116">
        <f>F265*AO265</f>
      </c>
      <c r="BI265" s="116">
        <f>F265*AP265</f>
      </c>
      <c r="BJ265" s="116">
        <f>F265*G265</f>
      </c>
      <c r="BK265" s="116"/>
      <c r="BL265" s="116" t="n">
        <v>89</v>
      </c>
      <c r="BW265" s="116" t="n">
        <v>21</v>
      </c>
      <c r="BX265" s="14" t="s">
        <v>582</v>
      </c>
    </row>
    <row r="266" customHeight="true" ht="13.5">
      <c r="A266" s="151"/>
      <c r="C266" s="155" t="s">
        <v>584</v>
      </c>
      <c r="D266" s="152"/>
      <c r="E266" s="152"/>
      <c r="F266" s="152"/>
      <c r="G266" s="152"/>
      <c r="H266" s="152"/>
      <c r="I266" s="152"/>
      <c r="J266" s="152"/>
      <c r="K266" s="156"/>
    </row>
    <row r="267">
      <c r="A267" s="151"/>
      <c r="C267" s="152" t="s">
        <v>88</v>
      </c>
      <c r="D267" s="152" t="s">
        <v>542</v>
      </c>
      <c r="F267" s="153" t="n">
        <v>1</v>
      </c>
      <c r="K267" s="154"/>
    </row>
    <row r="268" ht="24.75">
      <c r="A268" s="151"/>
      <c r="B268" s="157" t="s">
        <v>177</v>
      </c>
      <c r="C268" s="155" t="s">
        <v>585</v>
      </c>
      <c r="D268" s="152"/>
      <c r="E268" s="152"/>
      <c r="F268" s="152"/>
      <c r="G268" s="152"/>
      <c r="H268" s="152"/>
      <c r="I268" s="152"/>
      <c r="J268" s="152"/>
      <c r="K268" s="156"/>
      <c r="BX268" s="155" t="s">
        <v>585</v>
      </c>
    </row>
    <row r="269">
      <c r="A269" s="9" t="s">
        <v>586</v>
      </c>
      <c r="B269" s="10" t="s">
        <v>587</v>
      </c>
      <c r="C269" s="14" t="s">
        <v>588</v>
      </c>
      <c r="D269" s="10"/>
      <c r="E269" s="10" t="s">
        <v>216</v>
      </c>
      <c r="F269" s="116" t="n">
        <v>106</v>
      </c>
      <c r="G269" s="116" t="n">
        <v>0</v>
      </c>
      <c r="H269" s="116">
        <f>F269*AO269</f>
      </c>
      <c r="I269" s="116">
        <f>F269*AP269</f>
      </c>
      <c r="J269" s="116">
        <f>F269*G269</f>
      </c>
      <c r="K269" s="149" t="s">
        <v>159</v>
      </c>
      <c r="Z269" s="116">
        <f>IF(AQ269="5",BJ269,0)</f>
      </c>
      <c r="AB269" s="116">
        <f>IF(AQ269="1",BH269,0)</f>
      </c>
      <c r="AC269" s="116">
        <f>IF(AQ269="1",BI269,0)</f>
      </c>
      <c r="AD269" s="116">
        <f>IF(AQ269="7",BH269,0)</f>
      </c>
      <c r="AE269" s="116">
        <f>IF(AQ269="7",BI269,0)</f>
      </c>
      <c r="AF269" s="116">
        <f>IF(AQ269="2",BH269,0)</f>
      </c>
      <c r="AG269" s="116">
        <f>IF(AQ269="2",BI269,0)</f>
      </c>
      <c r="AH269" s="116">
        <f>IF(AQ269="0",BJ269,0)</f>
      </c>
      <c r="AI269" s="131" t="s">
        <v>103</v>
      </c>
      <c r="AJ269" s="116">
        <f>IF(AN269=0,J269,0)</f>
      </c>
      <c r="AK269" s="116">
        <f>IF(AN269=12,J269,0)</f>
      </c>
      <c r="AL269" s="116">
        <f>IF(AN269=21,J269,0)</f>
      </c>
      <c r="AN269" s="116" t="n">
        <v>21</v>
      </c>
      <c r="AO269" s="116">
        <f>G269*0.056005047</f>
      </c>
      <c r="AP269" s="116">
        <f>G269*(1-0.056005047)</f>
      </c>
      <c r="AQ269" s="150" t="s">
        <v>88</v>
      </c>
      <c r="AV269" s="116">
        <f>AW269+AX269</f>
      </c>
      <c r="AW269" s="116">
        <f>F269*AO269</f>
      </c>
      <c r="AX269" s="116">
        <f>F269*AP269</f>
      </c>
      <c r="AY269" s="150" t="s">
        <v>583</v>
      </c>
      <c r="AZ269" s="150" t="s">
        <v>559</v>
      </c>
      <c r="BA269" s="131" t="s">
        <v>288</v>
      </c>
      <c r="BC269" s="116">
        <f>AW269+AX269</f>
      </c>
      <c r="BD269" s="116">
        <f>G269/(100-BE269)*100</f>
      </c>
      <c r="BE269" s="116" t="n">
        <v>0</v>
      </c>
      <c r="BF269" s="116">
        <f>269</f>
      </c>
      <c r="BH269" s="116">
        <f>F269*AO269</f>
      </c>
      <c r="BI269" s="116">
        <f>F269*AP269</f>
      </c>
      <c r="BJ269" s="116">
        <f>F269*G269</f>
      </c>
      <c r="BK269" s="116"/>
      <c r="BL269" s="116" t="n">
        <v>89</v>
      </c>
      <c r="BW269" s="116" t="n">
        <v>21</v>
      </c>
      <c r="BX269" s="14" t="s">
        <v>588</v>
      </c>
    </row>
    <row r="270">
      <c r="A270" s="151"/>
      <c r="C270" s="152" t="s">
        <v>589</v>
      </c>
      <c r="D270" s="152" t="s">
        <v>4</v>
      </c>
      <c r="F270" s="153" t="n">
        <v>106</v>
      </c>
      <c r="K270" s="154"/>
    </row>
    <row r="271">
      <c r="A271" s="151"/>
      <c r="B271" s="157" t="s">
        <v>177</v>
      </c>
      <c r="C271" s="155" t="s">
        <v>590</v>
      </c>
      <c r="D271" s="152"/>
      <c r="E271" s="152"/>
      <c r="F271" s="152"/>
      <c r="G271" s="152"/>
      <c r="H271" s="152"/>
      <c r="I271" s="152"/>
      <c r="J271" s="152"/>
      <c r="K271" s="156"/>
      <c r="BX271" s="155" t="s">
        <v>590</v>
      </c>
    </row>
    <row r="272">
      <c r="A272" s="9" t="s">
        <v>591</v>
      </c>
      <c r="B272" s="10" t="s">
        <v>592</v>
      </c>
      <c r="C272" s="14" t="s">
        <v>593</v>
      </c>
      <c r="D272" s="10"/>
      <c r="E272" s="10" t="s">
        <v>216</v>
      </c>
      <c r="F272" s="116" t="n">
        <v>106</v>
      </c>
      <c r="G272" s="116" t="n">
        <v>0</v>
      </c>
      <c r="H272" s="116">
        <f>F272*AO272</f>
      </c>
      <c r="I272" s="116">
        <f>F272*AP272</f>
      </c>
      <c r="J272" s="116">
        <f>F272*G272</f>
      </c>
      <c r="K272" s="149" t="s">
        <v>159</v>
      </c>
      <c r="Z272" s="116">
        <f>IF(AQ272="5",BJ272,0)</f>
      </c>
      <c r="AB272" s="116">
        <f>IF(AQ272="1",BH272,0)</f>
      </c>
      <c r="AC272" s="116">
        <f>IF(AQ272="1",BI272,0)</f>
      </c>
      <c r="AD272" s="116">
        <f>IF(AQ272="7",BH272,0)</f>
      </c>
      <c r="AE272" s="116">
        <f>IF(AQ272="7",BI272,0)</f>
      </c>
      <c r="AF272" s="116">
        <f>IF(AQ272="2",BH272,0)</f>
      </c>
      <c r="AG272" s="116">
        <f>IF(AQ272="2",BI272,0)</f>
      </c>
      <c r="AH272" s="116">
        <f>IF(AQ272="0",BJ272,0)</f>
      </c>
      <c r="AI272" s="131" t="s">
        <v>103</v>
      </c>
      <c r="AJ272" s="116">
        <f>IF(AN272=0,J272,0)</f>
      </c>
      <c r="AK272" s="116">
        <f>IF(AN272=12,J272,0)</f>
      </c>
      <c r="AL272" s="116">
        <f>IF(AN272=21,J272,0)</f>
      </c>
      <c r="AN272" s="116" t="n">
        <v>21</v>
      </c>
      <c r="AO272" s="116">
        <f>G272*0</f>
      </c>
      <c r="AP272" s="116">
        <f>G272*(1-0)</f>
      </c>
      <c r="AQ272" s="150" t="s">
        <v>88</v>
      </c>
      <c r="AV272" s="116">
        <f>AW272+AX272</f>
      </c>
      <c r="AW272" s="116">
        <f>F272*AO272</f>
      </c>
      <c r="AX272" s="116">
        <f>F272*AP272</f>
      </c>
      <c r="AY272" s="150" t="s">
        <v>583</v>
      </c>
      <c r="AZ272" s="150" t="s">
        <v>559</v>
      </c>
      <c r="BA272" s="131" t="s">
        <v>288</v>
      </c>
      <c r="BC272" s="116">
        <f>AW272+AX272</f>
      </c>
      <c r="BD272" s="116">
        <f>G272/(100-BE272)*100</f>
      </c>
      <c r="BE272" s="116" t="n">
        <v>0</v>
      </c>
      <c r="BF272" s="116">
        <f>272</f>
      </c>
      <c r="BH272" s="116">
        <f>F272*AO272</f>
      </c>
      <c r="BI272" s="116">
        <f>F272*AP272</f>
      </c>
      <c r="BJ272" s="116">
        <f>F272*G272</f>
      </c>
      <c r="BK272" s="116"/>
      <c r="BL272" s="116" t="n">
        <v>89</v>
      </c>
      <c r="BW272" s="116" t="n">
        <v>21</v>
      </c>
      <c r="BX272" s="14" t="s">
        <v>593</v>
      </c>
    </row>
    <row r="273">
      <c r="A273" s="151"/>
      <c r="C273" s="152" t="s">
        <v>589</v>
      </c>
      <c r="D273" s="152" t="s">
        <v>4</v>
      </c>
      <c r="F273" s="153" t="n">
        <v>106</v>
      </c>
      <c r="K273" s="154"/>
    </row>
    <row r="274">
      <c r="A274" s="9" t="s">
        <v>95</v>
      </c>
      <c r="B274" s="10" t="s">
        <v>594</v>
      </c>
      <c r="C274" s="14" t="s">
        <v>595</v>
      </c>
      <c r="D274" s="10"/>
      <c r="E274" s="10" t="s">
        <v>596</v>
      </c>
      <c r="F274" s="116" t="n">
        <v>24</v>
      </c>
      <c r="G274" s="116" t="n">
        <v>0</v>
      </c>
      <c r="H274" s="116">
        <f>F274*AO274</f>
      </c>
      <c r="I274" s="116">
        <f>F274*AP274</f>
      </c>
      <c r="J274" s="116">
        <f>F274*G274</f>
      </c>
      <c r="K274" s="149" t="s">
        <v>159</v>
      </c>
      <c r="Z274" s="116">
        <f>IF(AQ274="5",BJ274,0)</f>
      </c>
      <c r="AB274" s="116">
        <f>IF(AQ274="1",BH274,0)</f>
      </c>
      <c r="AC274" s="116">
        <f>IF(AQ274="1",BI274,0)</f>
      </c>
      <c r="AD274" s="116">
        <f>IF(AQ274="7",BH274,0)</f>
      </c>
      <c r="AE274" s="116">
        <f>IF(AQ274="7",BI274,0)</f>
      </c>
      <c r="AF274" s="116">
        <f>IF(AQ274="2",BH274,0)</f>
      </c>
      <c r="AG274" s="116">
        <f>IF(AQ274="2",BI274,0)</f>
      </c>
      <c r="AH274" s="116">
        <f>IF(AQ274="0",BJ274,0)</f>
      </c>
      <c r="AI274" s="131" t="s">
        <v>103</v>
      </c>
      <c r="AJ274" s="116">
        <f>IF(AN274=0,J274,0)</f>
      </c>
      <c r="AK274" s="116">
        <f>IF(AN274=12,J274,0)</f>
      </c>
      <c r="AL274" s="116">
        <f>IF(AN274=21,J274,0)</f>
      </c>
      <c r="AN274" s="116" t="n">
        <v>21</v>
      </c>
      <c r="AO274" s="116">
        <f>G274*0.319875322</f>
      </c>
      <c r="AP274" s="116">
        <f>G274*(1-0.319875322)</f>
      </c>
      <c r="AQ274" s="150" t="s">
        <v>88</v>
      </c>
      <c r="AV274" s="116">
        <f>AW274+AX274</f>
      </c>
      <c r="AW274" s="116">
        <f>F274*AO274</f>
      </c>
      <c r="AX274" s="116">
        <f>F274*AP274</f>
      </c>
      <c r="AY274" s="150" t="s">
        <v>583</v>
      </c>
      <c r="AZ274" s="150" t="s">
        <v>559</v>
      </c>
      <c r="BA274" s="131" t="s">
        <v>288</v>
      </c>
      <c r="BC274" s="116">
        <f>AW274+AX274</f>
      </c>
      <c r="BD274" s="116">
        <f>G274/(100-BE274)*100</f>
      </c>
      <c r="BE274" s="116" t="n">
        <v>0</v>
      </c>
      <c r="BF274" s="116">
        <f>274</f>
      </c>
      <c r="BH274" s="116">
        <f>F274*AO274</f>
      </c>
      <c r="BI274" s="116">
        <f>F274*AP274</f>
      </c>
      <c r="BJ274" s="116">
        <f>F274*G274</f>
      </c>
      <c r="BK274" s="116"/>
      <c r="BL274" s="116" t="n">
        <v>89</v>
      </c>
      <c r="BW274" s="116" t="n">
        <v>21</v>
      </c>
      <c r="BX274" s="14" t="s">
        <v>595</v>
      </c>
    </row>
    <row r="275">
      <c r="A275" s="151"/>
      <c r="C275" s="152" t="s">
        <v>310</v>
      </c>
      <c r="D275" s="152" t="s">
        <v>4</v>
      </c>
      <c r="F275" s="153" t="n">
        <v>24</v>
      </c>
      <c r="K275" s="154"/>
    </row>
    <row r="276" ht="24.75">
      <c r="A276" s="151"/>
      <c r="B276" s="157" t="s">
        <v>177</v>
      </c>
      <c r="C276" s="155" t="s">
        <v>597</v>
      </c>
      <c r="D276" s="152"/>
      <c r="E276" s="152"/>
      <c r="F276" s="152"/>
      <c r="G276" s="152"/>
      <c r="H276" s="152"/>
      <c r="I276" s="152"/>
      <c r="J276" s="152"/>
      <c r="K276" s="156"/>
      <c r="BX276" s="155" t="s">
        <v>597</v>
      </c>
    </row>
    <row r="277">
      <c r="A277" s="9" t="s">
        <v>598</v>
      </c>
      <c r="B277" s="10" t="s">
        <v>599</v>
      </c>
      <c r="C277" s="14" t="s">
        <v>600</v>
      </c>
      <c r="D277" s="10"/>
      <c r="E277" s="10" t="s">
        <v>463</v>
      </c>
      <c r="F277" s="116" t="n">
        <v>3</v>
      </c>
      <c r="G277" s="116" t="n">
        <v>0</v>
      </c>
      <c r="H277" s="116">
        <f>F277*AO277</f>
      </c>
      <c r="I277" s="116">
        <f>F277*AP277</f>
      </c>
      <c r="J277" s="116">
        <f>F277*G277</f>
      </c>
      <c r="K277" s="149" t="s">
        <v>159</v>
      </c>
      <c r="Z277" s="116">
        <f>IF(AQ277="5",BJ277,0)</f>
      </c>
      <c r="AB277" s="116">
        <f>IF(AQ277="1",BH277,0)</f>
      </c>
      <c r="AC277" s="116">
        <f>IF(AQ277="1",BI277,0)</f>
      </c>
      <c r="AD277" s="116">
        <f>IF(AQ277="7",BH277,0)</f>
      </c>
      <c r="AE277" s="116">
        <f>IF(AQ277="7",BI277,0)</f>
      </c>
      <c r="AF277" s="116">
        <f>IF(AQ277="2",BH277,0)</f>
      </c>
      <c r="AG277" s="116">
        <f>IF(AQ277="2",BI277,0)</f>
      </c>
      <c r="AH277" s="116">
        <f>IF(AQ277="0",BJ277,0)</f>
      </c>
      <c r="AI277" s="131" t="s">
        <v>103</v>
      </c>
      <c r="AJ277" s="116">
        <f>IF(AN277=0,J277,0)</f>
      </c>
      <c r="AK277" s="116">
        <f>IF(AN277=12,J277,0)</f>
      </c>
      <c r="AL277" s="116">
        <f>IF(AN277=21,J277,0)</f>
      </c>
      <c r="AN277" s="116" t="n">
        <v>21</v>
      </c>
      <c r="AO277" s="116">
        <f>G277*0</f>
      </c>
      <c r="AP277" s="116">
        <f>G277*(1-0)</f>
      </c>
      <c r="AQ277" s="150" t="s">
        <v>88</v>
      </c>
      <c r="AV277" s="116">
        <f>AW277+AX277</f>
      </c>
      <c r="AW277" s="116">
        <f>F277*AO277</f>
      </c>
      <c r="AX277" s="116">
        <f>F277*AP277</f>
      </c>
      <c r="AY277" s="150" t="s">
        <v>583</v>
      </c>
      <c r="AZ277" s="150" t="s">
        <v>559</v>
      </c>
      <c r="BA277" s="131" t="s">
        <v>288</v>
      </c>
      <c r="BC277" s="116">
        <f>AW277+AX277</f>
      </c>
      <c r="BD277" s="116">
        <f>G277/(100-BE277)*100</f>
      </c>
      <c r="BE277" s="116" t="n">
        <v>0</v>
      </c>
      <c r="BF277" s="116">
        <f>277</f>
      </c>
      <c r="BH277" s="116">
        <f>F277*AO277</f>
      </c>
      <c r="BI277" s="116">
        <f>F277*AP277</f>
      </c>
      <c r="BJ277" s="116">
        <f>F277*G277</f>
      </c>
      <c r="BK277" s="116"/>
      <c r="BL277" s="116" t="n">
        <v>89</v>
      </c>
      <c r="BW277" s="116" t="n">
        <v>21</v>
      </c>
      <c r="BX277" s="14" t="s">
        <v>600</v>
      </c>
    </row>
    <row r="278" customHeight="true" ht="13.5">
      <c r="A278" s="151"/>
      <c r="C278" s="155" t="s">
        <v>601</v>
      </c>
      <c r="D278" s="152"/>
      <c r="E278" s="152"/>
      <c r="F278" s="152"/>
      <c r="G278" s="152"/>
      <c r="H278" s="152"/>
      <c r="I278" s="152"/>
      <c r="J278" s="152"/>
      <c r="K278" s="156"/>
    </row>
    <row r="279">
      <c r="A279" s="151"/>
      <c r="C279" s="152" t="s">
        <v>495</v>
      </c>
      <c r="D279" s="152" t="s">
        <v>496</v>
      </c>
      <c r="F279" s="153" t="n">
        <v>3</v>
      </c>
      <c r="K279" s="154"/>
    </row>
    <row r="280" ht="24.75">
      <c r="A280" s="151"/>
      <c r="B280" s="157" t="s">
        <v>177</v>
      </c>
      <c r="C280" s="155" t="s">
        <v>602</v>
      </c>
      <c r="D280" s="152"/>
      <c r="E280" s="152"/>
      <c r="F280" s="152"/>
      <c r="G280" s="152"/>
      <c r="H280" s="152"/>
      <c r="I280" s="152"/>
      <c r="J280" s="152"/>
      <c r="K280" s="156"/>
      <c r="BX280" s="155" t="s">
        <v>602</v>
      </c>
    </row>
    <row r="281">
      <c r="A281" s="9" t="s">
        <v>97</v>
      </c>
      <c r="B281" s="10" t="s">
        <v>603</v>
      </c>
      <c r="C281" s="14" t="s">
        <v>604</v>
      </c>
      <c r="D281" s="10"/>
      <c r="E281" s="10" t="s">
        <v>463</v>
      </c>
      <c r="F281" s="116" t="n">
        <v>2</v>
      </c>
      <c r="G281" s="116" t="n">
        <v>0</v>
      </c>
      <c r="H281" s="116">
        <f>F281*AO281</f>
      </c>
      <c r="I281" s="116">
        <f>F281*AP281</f>
      </c>
      <c r="J281" s="116">
        <f>F281*G281</f>
      </c>
      <c r="K281" s="149" t="s">
        <v>159</v>
      </c>
      <c r="Z281" s="116">
        <f>IF(AQ281="5",BJ281,0)</f>
      </c>
      <c r="AB281" s="116">
        <f>IF(AQ281="1",BH281,0)</f>
      </c>
      <c r="AC281" s="116">
        <f>IF(AQ281="1",BI281,0)</f>
      </c>
      <c r="AD281" s="116">
        <f>IF(AQ281="7",BH281,0)</f>
      </c>
      <c r="AE281" s="116">
        <f>IF(AQ281="7",BI281,0)</f>
      </c>
      <c r="AF281" s="116">
        <f>IF(AQ281="2",BH281,0)</f>
      </c>
      <c r="AG281" s="116">
        <f>IF(AQ281="2",BI281,0)</f>
      </c>
      <c r="AH281" s="116">
        <f>IF(AQ281="0",BJ281,0)</f>
      </c>
      <c r="AI281" s="131" t="s">
        <v>103</v>
      </c>
      <c r="AJ281" s="116">
        <f>IF(AN281=0,J281,0)</f>
      </c>
      <c r="AK281" s="116">
        <f>IF(AN281=12,J281,0)</f>
      </c>
      <c r="AL281" s="116">
        <f>IF(AN281=21,J281,0)</f>
      </c>
      <c r="AN281" s="116" t="n">
        <v>21</v>
      </c>
      <c r="AO281" s="116">
        <f>G281*0.883909506</f>
      </c>
      <c r="AP281" s="116">
        <f>G281*(1-0.883909506)</f>
      </c>
      <c r="AQ281" s="150" t="s">
        <v>88</v>
      </c>
      <c r="AV281" s="116">
        <f>AW281+AX281</f>
      </c>
      <c r="AW281" s="116">
        <f>F281*AO281</f>
      </c>
      <c r="AX281" s="116">
        <f>F281*AP281</f>
      </c>
      <c r="AY281" s="150" t="s">
        <v>583</v>
      </c>
      <c r="AZ281" s="150" t="s">
        <v>559</v>
      </c>
      <c r="BA281" s="131" t="s">
        <v>288</v>
      </c>
      <c r="BC281" s="116">
        <f>AW281+AX281</f>
      </c>
      <c r="BD281" s="116">
        <f>G281/(100-BE281)*100</f>
      </c>
      <c r="BE281" s="116" t="n">
        <v>0</v>
      </c>
      <c r="BF281" s="116">
        <f>281</f>
      </c>
      <c r="BH281" s="116">
        <f>F281*AO281</f>
      </c>
      <c r="BI281" s="116">
        <f>F281*AP281</f>
      </c>
      <c r="BJ281" s="116">
        <f>F281*G281</f>
      </c>
      <c r="BK281" s="116"/>
      <c r="BL281" s="116" t="n">
        <v>89</v>
      </c>
      <c r="BW281" s="116" t="n">
        <v>21</v>
      </c>
      <c r="BX281" s="14" t="s">
        <v>604</v>
      </c>
    </row>
    <row r="282" customHeight="true" ht="13.5">
      <c r="A282" s="151"/>
      <c r="C282" s="155" t="s">
        <v>605</v>
      </c>
      <c r="D282" s="152"/>
      <c r="E282" s="152"/>
      <c r="F282" s="152"/>
      <c r="G282" s="152"/>
      <c r="H282" s="152"/>
      <c r="I282" s="152"/>
      <c r="J282" s="152"/>
      <c r="K282" s="156"/>
    </row>
    <row r="283">
      <c r="A283" s="151"/>
      <c r="C283" s="152" t="s">
        <v>104</v>
      </c>
      <c r="D283" s="152" t="s">
        <v>4</v>
      </c>
      <c r="F283" s="153" t="n">
        <v>2</v>
      </c>
      <c r="K283" s="154"/>
    </row>
    <row r="284">
      <c r="A284" s="151"/>
      <c r="B284" s="157" t="s">
        <v>177</v>
      </c>
      <c r="C284" s="155" t="s">
        <v>606</v>
      </c>
      <c r="D284" s="152"/>
      <c r="E284" s="152"/>
      <c r="F284" s="152"/>
      <c r="G284" s="152"/>
      <c r="H284" s="152"/>
      <c r="I284" s="152"/>
      <c r="J284" s="152"/>
      <c r="K284" s="156"/>
      <c r="BX284" s="155" t="s">
        <v>606</v>
      </c>
    </row>
    <row r="285">
      <c r="A285" s="9" t="s">
        <v>607</v>
      </c>
      <c r="B285" s="10" t="s">
        <v>608</v>
      </c>
      <c r="C285" s="14" t="s">
        <v>609</v>
      </c>
      <c r="D285" s="10"/>
      <c r="E285" s="10" t="s">
        <v>463</v>
      </c>
      <c r="F285" s="116" t="n">
        <v>1</v>
      </c>
      <c r="G285" s="116" t="n">
        <v>0</v>
      </c>
      <c r="H285" s="116">
        <f>F285*AO285</f>
      </c>
      <c r="I285" s="116">
        <f>F285*AP285</f>
      </c>
      <c r="J285" s="116">
        <f>F285*G285</f>
      </c>
      <c r="K285" s="149" t="s">
        <v>159</v>
      </c>
      <c r="Z285" s="116">
        <f>IF(AQ285="5",BJ285,0)</f>
      </c>
      <c r="AB285" s="116">
        <f>IF(AQ285="1",BH285,0)</f>
      </c>
      <c r="AC285" s="116">
        <f>IF(AQ285="1",BI285,0)</f>
      </c>
      <c r="AD285" s="116">
        <f>IF(AQ285="7",BH285,0)</f>
      </c>
      <c r="AE285" s="116">
        <f>IF(AQ285="7",BI285,0)</f>
      </c>
      <c r="AF285" s="116">
        <f>IF(AQ285="2",BH285,0)</f>
      </c>
      <c r="AG285" s="116">
        <f>IF(AQ285="2",BI285,0)</f>
      </c>
      <c r="AH285" s="116">
        <f>IF(AQ285="0",BJ285,0)</f>
      </c>
      <c r="AI285" s="131" t="s">
        <v>103</v>
      </c>
      <c r="AJ285" s="116">
        <f>IF(AN285=0,J285,0)</f>
      </c>
      <c r="AK285" s="116">
        <f>IF(AN285=12,J285,0)</f>
      </c>
      <c r="AL285" s="116">
        <f>IF(AN285=21,J285,0)</f>
      </c>
      <c r="AN285" s="116" t="n">
        <v>21</v>
      </c>
      <c r="AO285" s="116">
        <f>G285*0.892113781</f>
      </c>
      <c r="AP285" s="116">
        <f>G285*(1-0.892113781)</f>
      </c>
      <c r="AQ285" s="150" t="s">
        <v>88</v>
      </c>
      <c r="AV285" s="116">
        <f>AW285+AX285</f>
      </c>
      <c r="AW285" s="116">
        <f>F285*AO285</f>
      </c>
      <c r="AX285" s="116">
        <f>F285*AP285</f>
      </c>
      <c r="AY285" s="150" t="s">
        <v>583</v>
      </c>
      <c r="AZ285" s="150" t="s">
        <v>559</v>
      </c>
      <c r="BA285" s="131" t="s">
        <v>288</v>
      </c>
      <c r="BC285" s="116">
        <f>AW285+AX285</f>
      </c>
      <c r="BD285" s="116">
        <f>G285/(100-BE285)*100</f>
      </c>
      <c r="BE285" s="116" t="n">
        <v>0</v>
      </c>
      <c r="BF285" s="116">
        <f>285</f>
      </c>
      <c r="BH285" s="116">
        <f>F285*AO285</f>
      </c>
      <c r="BI285" s="116">
        <f>F285*AP285</f>
      </c>
      <c r="BJ285" s="116">
        <f>F285*G285</f>
      </c>
      <c r="BK285" s="116"/>
      <c r="BL285" s="116" t="n">
        <v>89</v>
      </c>
      <c r="BW285" s="116" t="n">
        <v>21</v>
      </c>
      <c r="BX285" s="14" t="s">
        <v>609</v>
      </c>
    </row>
    <row r="286" customHeight="true" ht="13.5">
      <c r="A286" s="151"/>
      <c r="C286" s="155" t="s">
        <v>605</v>
      </c>
      <c r="D286" s="152"/>
      <c r="E286" s="152"/>
      <c r="F286" s="152"/>
      <c r="G286" s="152"/>
      <c r="H286" s="152"/>
      <c r="I286" s="152"/>
      <c r="J286" s="152"/>
      <c r="K286" s="156"/>
    </row>
    <row r="287">
      <c r="A287" s="151"/>
      <c r="C287" s="152" t="s">
        <v>88</v>
      </c>
      <c r="D287" s="152" t="s">
        <v>4</v>
      </c>
      <c r="F287" s="153" t="n">
        <v>1</v>
      </c>
      <c r="K287" s="154"/>
    </row>
    <row r="288">
      <c r="A288" s="151"/>
      <c r="B288" s="157" t="s">
        <v>177</v>
      </c>
      <c r="C288" s="155" t="s">
        <v>606</v>
      </c>
      <c r="D288" s="152"/>
      <c r="E288" s="152"/>
      <c r="F288" s="152"/>
      <c r="G288" s="152"/>
      <c r="H288" s="152"/>
      <c r="I288" s="152"/>
      <c r="J288" s="152"/>
      <c r="K288" s="156"/>
      <c r="BX288" s="155" t="s">
        <v>606</v>
      </c>
    </row>
    <row r="289">
      <c r="A289" s="9" t="s">
        <v>610</v>
      </c>
      <c r="B289" s="10" t="s">
        <v>611</v>
      </c>
      <c r="C289" s="14" t="s">
        <v>612</v>
      </c>
      <c r="D289" s="10"/>
      <c r="E289" s="10" t="s">
        <v>463</v>
      </c>
      <c r="F289" s="116" t="n">
        <v>2</v>
      </c>
      <c r="G289" s="116" t="n">
        <v>0</v>
      </c>
      <c r="H289" s="116">
        <f>F289*AO289</f>
      </c>
      <c r="I289" s="116">
        <f>F289*AP289</f>
      </c>
      <c r="J289" s="116">
        <f>F289*G289</f>
      </c>
      <c r="K289" s="149" t="s">
        <v>159</v>
      </c>
      <c r="Z289" s="116">
        <f>IF(AQ289="5",BJ289,0)</f>
      </c>
      <c r="AB289" s="116">
        <f>IF(AQ289="1",BH289,0)</f>
      </c>
      <c r="AC289" s="116">
        <f>IF(AQ289="1",BI289,0)</f>
      </c>
      <c r="AD289" s="116">
        <f>IF(AQ289="7",BH289,0)</f>
      </c>
      <c r="AE289" s="116">
        <f>IF(AQ289="7",BI289,0)</f>
      </c>
      <c r="AF289" s="116">
        <f>IF(AQ289="2",BH289,0)</f>
      </c>
      <c r="AG289" s="116">
        <f>IF(AQ289="2",BI289,0)</f>
      </c>
      <c r="AH289" s="116">
        <f>IF(AQ289="0",BJ289,0)</f>
      </c>
      <c r="AI289" s="131" t="s">
        <v>103</v>
      </c>
      <c r="AJ289" s="116">
        <f>IF(AN289=0,J289,0)</f>
      </c>
      <c r="AK289" s="116">
        <f>IF(AN289=12,J289,0)</f>
      </c>
      <c r="AL289" s="116">
        <f>IF(AN289=21,J289,0)</f>
      </c>
      <c r="AN289" s="116" t="n">
        <v>21</v>
      </c>
      <c r="AO289" s="116">
        <f>G289*0.936785082</f>
      </c>
      <c r="AP289" s="116">
        <f>G289*(1-0.936785082)</f>
      </c>
      <c r="AQ289" s="150" t="s">
        <v>88</v>
      </c>
      <c r="AV289" s="116">
        <f>AW289+AX289</f>
      </c>
      <c r="AW289" s="116">
        <f>F289*AO289</f>
      </c>
      <c r="AX289" s="116">
        <f>F289*AP289</f>
      </c>
      <c r="AY289" s="150" t="s">
        <v>583</v>
      </c>
      <c r="AZ289" s="150" t="s">
        <v>559</v>
      </c>
      <c r="BA289" s="131" t="s">
        <v>288</v>
      </c>
      <c r="BC289" s="116">
        <f>AW289+AX289</f>
      </c>
      <c r="BD289" s="116">
        <f>G289/(100-BE289)*100</f>
      </c>
      <c r="BE289" s="116" t="n">
        <v>0</v>
      </c>
      <c r="BF289" s="116">
        <f>289</f>
      </c>
      <c r="BH289" s="116">
        <f>F289*AO289</f>
      </c>
      <c r="BI289" s="116">
        <f>F289*AP289</f>
      </c>
      <c r="BJ289" s="116">
        <f>F289*G289</f>
      </c>
      <c r="BK289" s="116"/>
      <c r="BL289" s="116" t="n">
        <v>89</v>
      </c>
      <c r="BW289" s="116" t="n">
        <v>21</v>
      </c>
      <c r="BX289" s="14" t="s">
        <v>612</v>
      </c>
    </row>
    <row r="290" customHeight="true" ht="13.5">
      <c r="A290" s="151"/>
      <c r="C290" s="155" t="s">
        <v>613</v>
      </c>
      <c r="D290" s="152"/>
      <c r="E290" s="152"/>
      <c r="F290" s="152"/>
      <c r="G290" s="152"/>
      <c r="H290" s="152"/>
      <c r="I290" s="152"/>
      <c r="J290" s="152"/>
      <c r="K290" s="156"/>
    </row>
    <row r="291">
      <c r="A291" s="151"/>
      <c r="C291" s="152" t="s">
        <v>104</v>
      </c>
      <c r="D291" s="152" t="s">
        <v>4</v>
      </c>
      <c r="F291" s="153" t="n">
        <v>2</v>
      </c>
      <c r="K291" s="154"/>
    </row>
    <row r="292">
      <c r="A292" s="151"/>
      <c r="B292" s="157" t="s">
        <v>177</v>
      </c>
      <c r="C292" s="155" t="s">
        <v>614</v>
      </c>
      <c r="D292" s="152"/>
      <c r="E292" s="152"/>
      <c r="F292" s="152"/>
      <c r="G292" s="152"/>
      <c r="H292" s="152"/>
      <c r="I292" s="152"/>
      <c r="J292" s="152"/>
      <c r="K292" s="156"/>
      <c r="BX292" s="155" t="s">
        <v>614</v>
      </c>
    </row>
    <row r="293">
      <c r="A293" s="9" t="s">
        <v>615</v>
      </c>
      <c r="B293" s="10" t="s">
        <v>616</v>
      </c>
      <c r="C293" s="14" t="s">
        <v>617</v>
      </c>
      <c r="D293" s="10"/>
      <c r="E293" s="10" t="s">
        <v>463</v>
      </c>
      <c r="F293" s="116" t="n">
        <v>1</v>
      </c>
      <c r="G293" s="116" t="n">
        <v>0</v>
      </c>
      <c r="H293" s="116">
        <f>F293*AO293</f>
      </c>
      <c r="I293" s="116">
        <f>F293*AP293</f>
      </c>
      <c r="J293" s="116">
        <f>F293*G293</f>
      </c>
      <c r="K293" s="149" t="s">
        <v>159</v>
      </c>
      <c r="Z293" s="116">
        <f>IF(AQ293="5",BJ293,0)</f>
      </c>
      <c r="AB293" s="116">
        <f>IF(AQ293="1",BH293,0)</f>
      </c>
      <c r="AC293" s="116">
        <f>IF(AQ293="1",BI293,0)</f>
      </c>
      <c r="AD293" s="116">
        <f>IF(AQ293="7",BH293,0)</f>
      </c>
      <c r="AE293" s="116">
        <f>IF(AQ293="7",BI293,0)</f>
      </c>
      <c r="AF293" s="116">
        <f>IF(AQ293="2",BH293,0)</f>
      </c>
      <c r="AG293" s="116">
        <f>IF(AQ293="2",BI293,0)</f>
      </c>
      <c r="AH293" s="116">
        <f>IF(AQ293="0",BJ293,0)</f>
      </c>
      <c r="AI293" s="131" t="s">
        <v>103</v>
      </c>
      <c r="AJ293" s="116">
        <f>IF(AN293=0,J293,0)</f>
      </c>
      <c r="AK293" s="116">
        <f>IF(AN293=12,J293,0)</f>
      </c>
      <c r="AL293" s="116">
        <f>IF(AN293=21,J293,0)</f>
      </c>
      <c r="AN293" s="116" t="n">
        <v>21</v>
      </c>
      <c r="AO293" s="116">
        <f>G293*0.905003734</f>
      </c>
      <c r="AP293" s="116">
        <f>G293*(1-0.905003734)</f>
      </c>
      <c r="AQ293" s="150" t="s">
        <v>88</v>
      </c>
      <c r="AV293" s="116">
        <f>AW293+AX293</f>
      </c>
      <c r="AW293" s="116">
        <f>F293*AO293</f>
      </c>
      <c r="AX293" s="116">
        <f>F293*AP293</f>
      </c>
      <c r="AY293" s="150" t="s">
        <v>583</v>
      </c>
      <c r="AZ293" s="150" t="s">
        <v>559</v>
      </c>
      <c r="BA293" s="131" t="s">
        <v>288</v>
      </c>
      <c r="BC293" s="116">
        <f>AW293+AX293</f>
      </c>
      <c r="BD293" s="116">
        <f>G293/(100-BE293)*100</f>
      </c>
      <c r="BE293" s="116" t="n">
        <v>0</v>
      </c>
      <c r="BF293" s="116">
        <f>293</f>
      </c>
      <c r="BH293" s="116">
        <f>F293*AO293</f>
      </c>
      <c r="BI293" s="116">
        <f>F293*AP293</f>
      </c>
      <c r="BJ293" s="116">
        <f>F293*G293</f>
      </c>
      <c r="BK293" s="116"/>
      <c r="BL293" s="116" t="n">
        <v>89</v>
      </c>
      <c r="BW293" s="116" t="n">
        <v>21</v>
      </c>
      <c r="BX293" s="14" t="s">
        <v>617</v>
      </c>
    </row>
    <row r="294" customHeight="true" ht="13.5">
      <c r="A294" s="151"/>
      <c r="C294" s="155" t="s">
        <v>605</v>
      </c>
      <c r="D294" s="152"/>
      <c r="E294" s="152"/>
      <c r="F294" s="152"/>
      <c r="G294" s="152"/>
      <c r="H294" s="152"/>
      <c r="I294" s="152"/>
      <c r="J294" s="152"/>
      <c r="K294" s="156"/>
    </row>
    <row r="295">
      <c r="A295" s="151"/>
      <c r="C295" s="152" t="s">
        <v>88</v>
      </c>
      <c r="D295" s="152" t="s">
        <v>4</v>
      </c>
      <c r="F295" s="153" t="n">
        <v>1</v>
      </c>
      <c r="K295" s="154"/>
    </row>
    <row r="296">
      <c r="A296" s="151"/>
      <c r="B296" s="157" t="s">
        <v>177</v>
      </c>
      <c r="C296" s="155" t="s">
        <v>614</v>
      </c>
      <c r="D296" s="152"/>
      <c r="E296" s="152"/>
      <c r="F296" s="152"/>
      <c r="G296" s="152"/>
      <c r="H296" s="152"/>
      <c r="I296" s="152"/>
      <c r="J296" s="152"/>
      <c r="K296" s="156"/>
      <c r="BX296" s="155" t="s">
        <v>614</v>
      </c>
    </row>
    <row r="297">
      <c r="A297" s="9" t="s">
        <v>618</v>
      </c>
      <c r="B297" s="10" t="s">
        <v>619</v>
      </c>
      <c r="C297" s="14" t="s">
        <v>620</v>
      </c>
      <c r="D297" s="10"/>
      <c r="E297" s="10" t="s">
        <v>463</v>
      </c>
      <c r="F297" s="116" t="n">
        <v>3</v>
      </c>
      <c r="G297" s="116" t="n">
        <v>0</v>
      </c>
      <c r="H297" s="116">
        <f>F297*AO297</f>
      </c>
      <c r="I297" s="116">
        <f>F297*AP297</f>
      </c>
      <c r="J297" s="116">
        <f>F297*G297</f>
      </c>
      <c r="K297" s="149" t="s">
        <v>159</v>
      </c>
      <c r="Z297" s="116">
        <f>IF(AQ297="5",BJ297,0)</f>
      </c>
      <c r="AB297" s="116">
        <f>IF(AQ297="1",BH297,0)</f>
      </c>
      <c r="AC297" s="116">
        <f>IF(AQ297="1",BI297,0)</f>
      </c>
      <c r="AD297" s="116">
        <f>IF(AQ297="7",BH297,0)</f>
      </c>
      <c r="AE297" s="116">
        <f>IF(AQ297="7",BI297,0)</f>
      </c>
      <c r="AF297" s="116">
        <f>IF(AQ297="2",BH297,0)</f>
      </c>
      <c r="AG297" s="116">
        <f>IF(AQ297="2",BI297,0)</f>
      </c>
      <c r="AH297" s="116">
        <f>IF(AQ297="0",BJ297,0)</f>
      </c>
      <c r="AI297" s="131" t="s">
        <v>103</v>
      </c>
      <c r="AJ297" s="116">
        <f>IF(AN297=0,J297,0)</f>
      </c>
      <c r="AK297" s="116">
        <f>IF(AN297=12,J297,0)</f>
      </c>
      <c r="AL297" s="116">
        <f>IF(AN297=21,J297,0)</f>
      </c>
      <c r="AN297" s="116" t="n">
        <v>21</v>
      </c>
      <c r="AO297" s="116">
        <f>G297*0.823258792</f>
      </c>
      <c r="AP297" s="116">
        <f>G297*(1-0.823258792)</f>
      </c>
      <c r="AQ297" s="150" t="s">
        <v>88</v>
      </c>
      <c r="AV297" s="116">
        <f>AW297+AX297</f>
      </c>
      <c r="AW297" s="116">
        <f>F297*AO297</f>
      </c>
      <c r="AX297" s="116">
        <f>F297*AP297</f>
      </c>
      <c r="AY297" s="150" t="s">
        <v>583</v>
      </c>
      <c r="AZ297" s="150" t="s">
        <v>559</v>
      </c>
      <c r="BA297" s="131" t="s">
        <v>288</v>
      </c>
      <c r="BC297" s="116">
        <f>AW297+AX297</f>
      </c>
      <c r="BD297" s="116">
        <f>G297/(100-BE297)*100</f>
      </c>
      <c r="BE297" s="116" t="n">
        <v>0</v>
      </c>
      <c r="BF297" s="116">
        <f>297</f>
      </c>
      <c r="BH297" s="116">
        <f>F297*AO297</f>
      </c>
      <c r="BI297" s="116">
        <f>F297*AP297</f>
      </c>
      <c r="BJ297" s="116">
        <f>F297*G297</f>
      </c>
      <c r="BK297" s="116"/>
      <c r="BL297" s="116" t="n">
        <v>89</v>
      </c>
      <c r="BW297" s="116" t="n">
        <v>21</v>
      </c>
      <c r="BX297" s="14" t="s">
        <v>620</v>
      </c>
    </row>
    <row r="298" customHeight="true" ht="13.5">
      <c r="A298" s="151"/>
      <c r="C298" s="155" t="s">
        <v>621</v>
      </c>
      <c r="D298" s="152"/>
      <c r="E298" s="152"/>
      <c r="F298" s="152"/>
      <c r="G298" s="152"/>
      <c r="H298" s="152"/>
      <c r="I298" s="152"/>
      <c r="J298" s="152"/>
      <c r="K298" s="156"/>
    </row>
    <row r="299">
      <c r="A299" s="151"/>
      <c r="C299" s="152" t="s">
        <v>495</v>
      </c>
      <c r="D299" s="152" t="s">
        <v>496</v>
      </c>
      <c r="F299" s="153" t="n">
        <v>3</v>
      </c>
      <c r="K299" s="154"/>
    </row>
    <row r="300" ht="24.75">
      <c r="A300" s="151"/>
      <c r="B300" s="157" t="s">
        <v>177</v>
      </c>
      <c r="C300" s="155" t="s">
        <v>622</v>
      </c>
      <c r="D300" s="152"/>
      <c r="E300" s="152"/>
      <c r="F300" s="152"/>
      <c r="G300" s="152"/>
      <c r="H300" s="152"/>
      <c r="I300" s="152"/>
      <c r="J300" s="152"/>
      <c r="K300" s="156"/>
      <c r="BX300" s="155" t="s">
        <v>622</v>
      </c>
    </row>
    <row r="301">
      <c r="A301" s="9" t="s">
        <v>623</v>
      </c>
      <c r="B301" s="10" t="s">
        <v>624</v>
      </c>
      <c r="C301" s="14" t="s">
        <v>625</v>
      </c>
      <c r="D301" s="10"/>
      <c r="E301" s="10" t="s">
        <v>463</v>
      </c>
      <c r="F301" s="116" t="n">
        <v>1</v>
      </c>
      <c r="G301" s="116" t="n">
        <v>0</v>
      </c>
      <c r="H301" s="116">
        <f>F301*AO301</f>
      </c>
      <c r="I301" s="116">
        <f>F301*AP301</f>
      </c>
      <c r="J301" s="116">
        <f>F301*G301</f>
      </c>
      <c r="K301" s="149" t="s">
        <v>159</v>
      </c>
      <c r="Z301" s="116">
        <f>IF(AQ301="5",BJ301,0)</f>
      </c>
      <c r="AB301" s="116">
        <f>IF(AQ301="1",BH301,0)</f>
      </c>
      <c r="AC301" s="116">
        <f>IF(AQ301="1",BI301,0)</f>
      </c>
      <c r="AD301" s="116">
        <f>IF(AQ301="7",BH301,0)</f>
      </c>
      <c r="AE301" s="116">
        <f>IF(AQ301="7",BI301,0)</f>
      </c>
      <c r="AF301" s="116">
        <f>IF(AQ301="2",BH301,0)</f>
      </c>
      <c r="AG301" s="116">
        <f>IF(AQ301="2",BI301,0)</f>
      </c>
      <c r="AH301" s="116">
        <f>IF(AQ301="0",BJ301,0)</f>
      </c>
      <c r="AI301" s="131" t="s">
        <v>103</v>
      </c>
      <c r="AJ301" s="116">
        <f>IF(AN301=0,J301,0)</f>
      </c>
      <c r="AK301" s="116">
        <f>IF(AN301=12,J301,0)</f>
      </c>
      <c r="AL301" s="116">
        <f>IF(AN301=21,J301,0)</f>
      </c>
      <c r="AN301" s="116" t="n">
        <v>21</v>
      </c>
      <c r="AO301" s="116">
        <f>G301*0.419908016</f>
      </c>
      <c r="AP301" s="116">
        <f>G301*(1-0.419908016)</f>
      </c>
      <c r="AQ301" s="150" t="s">
        <v>88</v>
      </c>
      <c r="AV301" s="116">
        <f>AW301+AX301</f>
      </c>
      <c r="AW301" s="116">
        <f>F301*AO301</f>
      </c>
      <c r="AX301" s="116">
        <f>F301*AP301</f>
      </c>
      <c r="AY301" s="150" t="s">
        <v>583</v>
      </c>
      <c r="AZ301" s="150" t="s">
        <v>559</v>
      </c>
      <c r="BA301" s="131" t="s">
        <v>288</v>
      </c>
      <c r="BC301" s="116">
        <f>AW301+AX301</f>
      </c>
      <c r="BD301" s="116">
        <f>G301/(100-BE301)*100</f>
      </c>
      <c r="BE301" s="116" t="n">
        <v>0</v>
      </c>
      <c r="BF301" s="116">
        <f>301</f>
      </c>
      <c r="BH301" s="116">
        <f>F301*AO301</f>
      </c>
      <c r="BI301" s="116">
        <f>F301*AP301</f>
      </c>
      <c r="BJ301" s="116">
        <f>F301*G301</f>
      </c>
      <c r="BK301" s="116"/>
      <c r="BL301" s="116" t="n">
        <v>89</v>
      </c>
      <c r="BW301" s="116" t="n">
        <v>21</v>
      </c>
      <c r="BX301" s="14" t="s">
        <v>625</v>
      </c>
    </row>
    <row r="302">
      <c r="A302" s="151"/>
      <c r="C302" s="152" t="s">
        <v>88</v>
      </c>
      <c r="D302" s="152" t="s">
        <v>4</v>
      </c>
      <c r="F302" s="153" t="n">
        <v>1</v>
      </c>
      <c r="K302" s="154"/>
    </row>
    <row r="303">
      <c r="A303" s="151"/>
      <c r="B303" s="157" t="s">
        <v>177</v>
      </c>
      <c r="C303" s="155" t="s">
        <v>626</v>
      </c>
      <c r="D303" s="152"/>
      <c r="E303" s="152"/>
      <c r="F303" s="152"/>
      <c r="G303" s="152"/>
      <c r="H303" s="152"/>
      <c r="I303" s="152"/>
      <c r="J303" s="152"/>
      <c r="K303" s="156"/>
      <c r="BX303" s="155" t="s">
        <v>626</v>
      </c>
    </row>
    <row r="304">
      <c r="A304" s="9" t="s">
        <v>627</v>
      </c>
      <c r="B304" s="10" t="s">
        <v>628</v>
      </c>
      <c r="C304" s="14" t="s">
        <v>629</v>
      </c>
      <c r="D304" s="10"/>
      <c r="E304" s="10" t="s">
        <v>463</v>
      </c>
      <c r="F304" s="116" t="n">
        <v>1</v>
      </c>
      <c r="G304" s="116" t="n">
        <v>0</v>
      </c>
      <c r="H304" s="116">
        <f>F304*AO304</f>
      </c>
      <c r="I304" s="116">
        <f>F304*AP304</f>
      </c>
      <c r="J304" s="116">
        <f>F304*G304</f>
      </c>
      <c r="K304" s="149" t="s">
        <v>159</v>
      </c>
      <c r="Z304" s="116">
        <f>IF(AQ304="5",BJ304,0)</f>
      </c>
      <c r="AB304" s="116">
        <f>IF(AQ304="1",BH304,0)</f>
      </c>
      <c r="AC304" s="116">
        <f>IF(AQ304="1",BI304,0)</f>
      </c>
      <c r="AD304" s="116">
        <f>IF(AQ304="7",BH304,0)</f>
      </c>
      <c r="AE304" s="116">
        <f>IF(AQ304="7",BI304,0)</f>
      </c>
      <c r="AF304" s="116">
        <f>IF(AQ304="2",BH304,0)</f>
      </c>
      <c r="AG304" s="116">
        <f>IF(AQ304="2",BI304,0)</f>
      </c>
      <c r="AH304" s="116">
        <f>IF(AQ304="0",BJ304,0)</f>
      </c>
      <c r="AI304" s="131" t="s">
        <v>103</v>
      </c>
      <c r="AJ304" s="116">
        <f>IF(AN304=0,J304,0)</f>
      </c>
      <c r="AK304" s="116">
        <f>IF(AN304=12,J304,0)</f>
      </c>
      <c r="AL304" s="116">
        <f>IF(AN304=21,J304,0)</f>
      </c>
      <c r="AN304" s="116" t="n">
        <v>21</v>
      </c>
      <c r="AO304" s="116">
        <f>G304*0.477432343</f>
      </c>
      <c r="AP304" s="116">
        <f>G304*(1-0.477432343)</f>
      </c>
      <c r="AQ304" s="150" t="s">
        <v>88</v>
      </c>
      <c r="AV304" s="116">
        <f>AW304+AX304</f>
      </c>
      <c r="AW304" s="116">
        <f>F304*AO304</f>
      </c>
      <c r="AX304" s="116">
        <f>F304*AP304</f>
      </c>
      <c r="AY304" s="150" t="s">
        <v>583</v>
      </c>
      <c r="AZ304" s="150" t="s">
        <v>559</v>
      </c>
      <c r="BA304" s="131" t="s">
        <v>288</v>
      </c>
      <c r="BC304" s="116">
        <f>AW304+AX304</f>
      </c>
      <c r="BD304" s="116">
        <f>G304/(100-BE304)*100</f>
      </c>
      <c r="BE304" s="116" t="n">
        <v>0</v>
      </c>
      <c r="BF304" s="116">
        <f>304</f>
      </c>
      <c r="BH304" s="116">
        <f>F304*AO304</f>
      </c>
      <c r="BI304" s="116">
        <f>F304*AP304</f>
      </c>
      <c r="BJ304" s="116">
        <f>F304*G304</f>
      </c>
      <c r="BK304" s="116"/>
      <c r="BL304" s="116" t="n">
        <v>89</v>
      </c>
      <c r="BW304" s="116" t="n">
        <v>21</v>
      </c>
      <c r="BX304" s="14" t="s">
        <v>629</v>
      </c>
    </row>
    <row r="305">
      <c r="A305" s="151"/>
      <c r="C305" s="152" t="s">
        <v>88</v>
      </c>
      <c r="D305" s="152" t="s">
        <v>4</v>
      </c>
      <c r="F305" s="153" t="n">
        <v>1</v>
      </c>
      <c r="K305" s="154"/>
    </row>
    <row r="306">
      <c r="A306" s="144" t="s">
        <v>4</v>
      </c>
      <c r="B306" s="145" t="s">
        <v>630</v>
      </c>
      <c r="C306" s="146" t="s">
        <v>631</v>
      </c>
      <c r="D306" s="145"/>
      <c r="E306" s="147" t="s">
        <v>79</v>
      </c>
      <c r="F306" s="147" t="s">
        <v>79</v>
      </c>
      <c r="G306" s="147" t="s">
        <v>79</v>
      </c>
      <c r="H306" s="123">
        <f>SUM(H307:H307)</f>
      </c>
      <c r="I306" s="123">
        <f>SUM(I307:I307)</f>
      </c>
      <c r="J306" s="123">
        <f>SUM(J307:J307)</f>
      </c>
      <c r="K306" s="148" t="s">
        <v>4</v>
      </c>
      <c r="AI306" s="131" t="s">
        <v>103</v>
      </c>
      <c r="AS306" s="123">
        <f>SUM(AJ307:AJ307)</f>
      </c>
      <c r="AT306" s="123">
        <f>SUM(AK307:AK307)</f>
      </c>
      <c r="AU306" s="123">
        <f>SUM(AL307:AL307)</f>
      </c>
    </row>
    <row r="307">
      <c r="A307" s="9" t="s">
        <v>632</v>
      </c>
      <c r="B307" s="10" t="s">
        <v>633</v>
      </c>
      <c r="C307" s="14" t="s">
        <v>634</v>
      </c>
      <c r="D307" s="10"/>
      <c r="E307" s="10" t="s">
        <v>166</v>
      </c>
      <c r="F307" s="116" t="n">
        <v>20</v>
      </c>
      <c r="G307" s="116" t="n">
        <v>0</v>
      </c>
      <c r="H307" s="116">
        <f>F307*AO307</f>
      </c>
      <c r="I307" s="116">
        <f>F307*AP307</f>
      </c>
      <c r="J307" s="116">
        <f>F307*G307</f>
      </c>
      <c r="K307" s="149" t="s">
        <v>159</v>
      </c>
      <c r="Z307" s="116">
        <f>IF(AQ307="5",BJ307,0)</f>
      </c>
      <c r="AB307" s="116">
        <f>IF(AQ307="1",BH307,0)</f>
      </c>
      <c r="AC307" s="116">
        <f>IF(AQ307="1",BI307,0)</f>
      </c>
      <c r="AD307" s="116">
        <f>IF(AQ307="7",BH307,0)</f>
      </c>
      <c r="AE307" s="116">
        <f>IF(AQ307="7",BI307,0)</f>
      </c>
      <c r="AF307" s="116">
        <f>IF(AQ307="2",BH307,0)</f>
      </c>
      <c r="AG307" s="116">
        <f>IF(AQ307="2",BI307,0)</f>
      </c>
      <c r="AH307" s="116">
        <f>IF(AQ307="0",BJ307,0)</f>
      </c>
      <c r="AI307" s="131" t="s">
        <v>103</v>
      </c>
      <c r="AJ307" s="116">
        <f>IF(AN307=0,J307,0)</f>
      </c>
      <c r="AK307" s="116">
        <f>IF(AN307=12,J307,0)</f>
      </c>
      <c r="AL307" s="116">
        <f>IF(AN307=21,J307,0)</f>
      </c>
      <c r="AN307" s="116" t="n">
        <v>21</v>
      </c>
      <c r="AO307" s="116">
        <f>G307*0</f>
      </c>
      <c r="AP307" s="116">
        <f>G307*(1-0)</f>
      </c>
      <c r="AQ307" s="150" t="s">
        <v>88</v>
      </c>
      <c r="AV307" s="116">
        <f>AW307+AX307</f>
      </c>
      <c r="AW307" s="116">
        <f>F307*AO307</f>
      </c>
      <c r="AX307" s="116">
        <f>F307*AP307</f>
      </c>
      <c r="AY307" s="150" t="s">
        <v>635</v>
      </c>
      <c r="AZ307" s="150" t="s">
        <v>636</v>
      </c>
      <c r="BA307" s="131" t="s">
        <v>288</v>
      </c>
      <c r="BC307" s="116">
        <f>AW307+AX307</f>
      </c>
      <c r="BD307" s="116">
        <f>G307/(100-BE307)*100</f>
      </c>
      <c r="BE307" s="116" t="n">
        <v>0</v>
      </c>
      <c r="BF307" s="116">
        <f>307</f>
      </c>
      <c r="BH307" s="116">
        <f>F307*AO307</f>
      </c>
      <c r="BI307" s="116">
        <f>F307*AP307</f>
      </c>
      <c r="BJ307" s="116">
        <f>F307*G307</f>
      </c>
      <c r="BK307" s="116"/>
      <c r="BL307" s="116" t="n">
        <v>90</v>
      </c>
      <c r="BW307" s="116" t="n">
        <v>21</v>
      </c>
      <c r="BX307" s="14" t="s">
        <v>634</v>
      </c>
    </row>
    <row r="308">
      <c r="A308" s="151"/>
      <c r="C308" s="152" t="s">
        <v>285</v>
      </c>
      <c r="D308" s="152" t="s">
        <v>637</v>
      </c>
      <c r="F308" s="153" t="n">
        <v>20</v>
      </c>
      <c r="K308" s="154"/>
    </row>
    <row r="309" ht="96.75">
      <c r="A309" s="151"/>
      <c r="B309" s="157" t="s">
        <v>177</v>
      </c>
      <c r="C309" s="155" t="s">
        <v>638</v>
      </c>
      <c r="D309" s="152"/>
      <c r="E309" s="152"/>
      <c r="F309" s="152"/>
      <c r="G309" s="152"/>
      <c r="H309" s="152"/>
      <c r="I309" s="152"/>
      <c r="J309" s="152"/>
      <c r="K309" s="156"/>
      <c r="BX309" s="155" t="s">
        <v>638</v>
      </c>
    </row>
    <row r="310">
      <c r="A310" s="144" t="s">
        <v>4</v>
      </c>
      <c r="B310" s="145" t="s">
        <v>639</v>
      </c>
      <c r="C310" s="146" t="s">
        <v>640</v>
      </c>
      <c r="D310" s="145"/>
      <c r="E310" s="147" t="s">
        <v>79</v>
      </c>
      <c r="F310" s="147" t="s">
        <v>79</v>
      </c>
      <c r="G310" s="147" t="s">
        <v>79</v>
      </c>
      <c r="H310" s="123">
        <f>SUM(H311:H311)</f>
      </c>
      <c r="I310" s="123">
        <f>SUM(I311:I311)</f>
      </c>
      <c r="J310" s="123">
        <f>SUM(J311:J311)</f>
      </c>
      <c r="K310" s="148" t="s">
        <v>4</v>
      </c>
      <c r="AI310" s="131" t="s">
        <v>103</v>
      </c>
      <c r="AS310" s="123">
        <f>SUM(AJ311:AJ311)</f>
      </c>
      <c r="AT310" s="123">
        <f>SUM(AK311:AK311)</f>
      </c>
      <c r="AU310" s="123">
        <f>SUM(AL311:AL311)</f>
      </c>
    </row>
    <row r="311">
      <c r="A311" s="9" t="s">
        <v>641</v>
      </c>
      <c r="B311" s="10" t="s">
        <v>642</v>
      </c>
      <c r="C311" s="14" t="s">
        <v>643</v>
      </c>
      <c r="D311" s="10"/>
      <c r="E311" s="10" t="s">
        <v>216</v>
      </c>
      <c r="F311" s="116" t="n">
        <v>0.5</v>
      </c>
      <c r="G311" s="116" t="n">
        <v>0</v>
      </c>
      <c r="H311" s="116">
        <f>F311*AO311</f>
      </c>
      <c r="I311" s="116">
        <f>F311*AP311</f>
      </c>
      <c r="J311" s="116">
        <f>F311*G311</f>
      </c>
      <c r="K311" s="149" t="s">
        <v>159</v>
      </c>
      <c r="Z311" s="116">
        <f>IF(AQ311="5",BJ311,0)</f>
      </c>
      <c r="AB311" s="116">
        <f>IF(AQ311="1",BH311,0)</f>
      </c>
      <c r="AC311" s="116">
        <f>IF(AQ311="1",BI311,0)</f>
      </c>
      <c r="AD311" s="116">
        <f>IF(AQ311="7",BH311,0)</f>
      </c>
      <c r="AE311" s="116">
        <f>IF(AQ311="7",BI311,0)</f>
      </c>
      <c r="AF311" s="116">
        <f>IF(AQ311="2",BH311,0)</f>
      </c>
      <c r="AG311" s="116">
        <f>IF(AQ311="2",BI311,0)</f>
      </c>
      <c r="AH311" s="116">
        <f>IF(AQ311="0",BJ311,0)</f>
      </c>
      <c r="AI311" s="131" t="s">
        <v>103</v>
      </c>
      <c r="AJ311" s="116">
        <f>IF(AN311=0,J311,0)</f>
      </c>
      <c r="AK311" s="116">
        <f>IF(AN311=12,J311,0)</f>
      </c>
      <c r="AL311" s="116">
        <f>IF(AN311=21,J311,0)</f>
      </c>
      <c r="AN311" s="116" t="n">
        <v>21</v>
      </c>
      <c r="AO311" s="116">
        <f>G311*0.826587796</f>
      </c>
      <c r="AP311" s="116">
        <f>G311*(1-0.826587796)</f>
      </c>
      <c r="AQ311" s="150" t="s">
        <v>88</v>
      </c>
      <c r="AV311" s="116">
        <f>AW311+AX311</f>
      </c>
      <c r="AW311" s="116">
        <f>F311*AO311</f>
      </c>
      <c r="AX311" s="116">
        <f>F311*AP311</f>
      </c>
      <c r="AY311" s="150" t="s">
        <v>644</v>
      </c>
      <c r="AZ311" s="150" t="s">
        <v>636</v>
      </c>
      <c r="BA311" s="131" t="s">
        <v>288</v>
      </c>
      <c r="BC311" s="116">
        <f>AW311+AX311</f>
      </c>
      <c r="BD311" s="116">
        <f>G311/(100-BE311)*100</f>
      </c>
      <c r="BE311" s="116" t="n">
        <v>0</v>
      </c>
      <c r="BF311" s="116">
        <f>311</f>
      </c>
      <c r="BH311" s="116">
        <f>F311*AO311</f>
      </c>
      <c r="BI311" s="116">
        <f>F311*AP311</f>
      </c>
      <c r="BJ311" s="116">
        <f>F311*G311</f>
      </c>
      <c r="BK311" s="116"/>
      <c r="BL311" s="116" t="n">
        <v>93</v>
      </c>
      <c r="BW311" s="116" t="n">
        <v>21</v>
      </c>
      <c r="BX311" s="14" t="s">
        <v>643</v>
      </c>
    </row>
    <row r="312">
      <c r="A312" s="151"/>
      <c r="C312" s="152" t="s">
        <v>645</v>
      </c>
      <c r="D312" s="152" t="s">
        <v>4</v>
      </c>
      <c r="F312" s="153" t="n">
        <v>0.5</v>
      </c>
      <c r="K312" s="154"/>
    </row>
    <row r="313" ht="24.75">
      <c r="A313" s="151"/>
      <c r="B313" s="157" t="s">
        <v>177</v>
      </c>
      <c r="C313" s="155" t="s">
        <v>646</v>
      </c>
      <c r="D313" s="152"/>
      <c r="E313" s="152"/>
      <c r="F313" s="152"/>
      <c r="G313" s="152"/>
      <c r="H313" s="152"/>
      <c r="I313" s="152"/>
      <c r="J313" s="152"/>
      <c r="K313" s="156"/>
      <c r="BX313" s="155" t="s">
        <v>646</v>
      </c>
    </row>
    <row r="314">
      <c r="A314" s="144" t="s">
        <v>4</v>
      </c>
      <c r="B314" s="145" t="s">
        <v>647</v>
      </c>
      <c r="C314" s="146" t="s">
        <v>648</v>
      </c>
      <c r="D314" s="145"/>
      <c r="E314" s="147" t="s">
        <v>79</v>
      </c>
      <c r="F314" s="147" t="s">
        <v>79</v>
      </c>
      <c r="G314" s="147" t="s">
        <v>79</v>
      </c>
      <c r="H314" s="123">
        <f>SUM(H315:H315)</f>
      </c>
      <c r="I314" s="123">
        <f>SUM(I315:I315)</f>
      </c>
      <c r="J314" s="123">
        <f>SUM(J315:J315)</f>
      </c>
      <c r="K314" s="148" t="s">
        <v>4</v>
      </c>
      <c r="AI314" s="131" t="s">
        <v>103</v>
      </c>
      <c r="AS314" s="123">
        <f>SUM(AJ315:AJ315)</f>
      </c>
      <c r="AT314" s="123">
        <f>SUM(AK315:AK315)</f>
      </c>
      <c r="AU314" s="123">
        <f>SUM(AL315:AL315)</f>
      </c>
    </row>
    <row r="315">
      <c r="A315" s="9" t="s">
        <v>553</v>
      </c>
      <c r="B315" s="10" t="s">
        <v>649</v>
      </c>
      <c r="C315" s="14" t="s">
        <v>650</v>
      </c>
      <c r="D315" s="10"/>
      <c r="E315" s="10" t="s">
        <v>216</v>
      </c>
      <c r="F315" s="116" t="n">
        <v>0.3</v>
      </c>
      <c r="G315" s="116" t="n">
        <v>0</v>
      </c>
      <c r="H315" s="116">
        <f>F315*AO315</f>
      </c>
      <c r="I315" s="116">
        <f>F315*AP315</f>
      </c>
      <c r="J315" s="116">
        <f>F315*G315</f>
      </c>
      <c r="K315" s="149" t="s">
        <v>159</v>
      </c>
      <c r="Z315" s="116">
        <f>IF(AQ315="5",BJ315,0)</f>
      </c>
      <c r="AB315" s="116">
        <f>IF(AQ315="1",BH315,0)</f>
      </c>
      <c r="AC315" s="116">
        <f>IF(AQ315="1",BI315,0)</f>
      </c>
      <c r="AD315" s="116">
        <f>IF(AQ315="7",BH315,0)</f>
      </c>
      <c r="AE315" s="116">
        <f>IF(AQ315="7",BI315,0)</f>
      </c>
      <c r="AF315" s="116">
        <f>IF(AQ315="2",BH315,0)</f>
      </c>
      <c r="AG315" s="116">
        <f>IF(AQ315="2",BI315,0)</f>
      </c>
      <c r="AH315" s="116">
        <f>IF(AQ315="0",BJ315,0)</f>
      </c>
      <c r="AI315" s="131" t="s">
        <v>103</v>
      </c>
      <c r="AJ315" s="116">
        <f>IF(AN315=0,J315,0)</f>
      </c>
      <c r="AK315" s="116">
        <f>IF(AN315=12,J315,0)</f>
      </c>
      <c r="AL315" s="116">
        <f>IF(AN315=21,J315,0)</f>
      </c>
      <c r="AN315" s="116" t="n">
        <v>21</v>
      </c>
      <c r="AO315" s="116">
        <f>G315*0.282526811</f>
      </c>
      <c r="AP315" s="116">
        <f>G315*(1-0.282526811)</f>
      </c>
      <c r="AQ315" s="150" t="s">
        <v>88</v>
      </c>
      <c r="AV315" s="116">
        <f>AW315+AX315</f>
      </c>
      <c r="AW315" s="116">
        <f>F315*AO315</f>
      </c>
      <c r="AX315" s="116">
        <f>F315*AP315</f>
      </c>
      <c r="AY315" s="150" t="s">
        <v>651</v>
      </c>
      <c r="AZ315" s="150" t="s">
        <v>636</v>
      </c>
      <c r="BA315" s="131" t="s">
        <v>288</v>
      </c>
      <c r="BC315" s="116">
        <f>AW315+AX315</f>
      </c>
      <c r="BD315" s="116">
        <f>G315/(100-BE315)*100</f>
      </c>
      <c r="BE315" s="116" t="n">
        <v>0</v>
      </c>
      <c r="BF315" s="116">
        <f>315</f>
      </c>
      <c r="BH315" s="116">
        <f>F315*AO315</f>
      </c>
      <c r="BI315" s="116">
        <f>F315*AP315</f>
      </c>
      <c r="BJ315" s="116">
        <f>F315*G315</f>
      </c>
      <c r="BK315" s="116"/>
      <c r="BL315" s="116" t="n">
        <v>97</v>
      </c>
      <c r="BW315" s="116" t="n">
        <v>21</v>
      </c>
      <c r="BX315" s="14" t="s">
        <v>650</v>
      </c>
    </row>
    <row r="316">
      <c r="A316" s="151"/>
      <c r="C316" s="152" t="s">
        <v>652</v>
      </c>
      <c r="D316" s="152" t="s">
        <v>4</v>
      </c>
      <c r="F316" s="153" t="n">
        <v>0.3</v>
      </c>
      <c r="K316" s="154"/>
    </row>
    <row r="317">
      <c r="A317" s="144" t="s">
        <v>4</v>
      </c>
      <c r="B317" s="145" t="s">
        <v>653</v>
      </c>
      <c r="C317" s="146" t="s">
        <v>654</v>
      </c>
      <c r="D317" s="145"/>
      <c r="E317" s="147" t="s">
        <v>79</v>
      </c>
      <c r="F317" s="147" t="s">
        <v>79</v>
      </c>
      <c r="G317" s="147" t="s">
        <v>79</v>
      </c>
      <c r="H317" s="123">
        <f>SUM(H318:H318)</f>
      </c>
      <c r="I317" s="123">
        <f>SUM(I318:I318)</f>
      </c>
      <c r="J317" s="123">
        <f>SUM(J318:J318)</f>
      </c>
      <c r="K317" s="148" t="s">
        <v>4</v>
      </c>
      <c r="AI317" s="131" t="s">
        <v>103</v>
      </c>
      <c r="AS317" s="123">
        <f>SUM(AJ318:AJ318)</f>
      </c>
      <c r="AT317" s="123">
        <f>SUM(AK318:AK318)</f>
      </c>
      <c r="AU317" s="123">
        <f>SUM(AL318:AL318)</f>
      </c>
    </row>
    <row r="318">
      <c r="A318" s="9" t="s">
        <v>655</v>
      </c>
      <c r="B318" s="10" t="s">
        <v>656</v>
      </c>
      <c r="C318" s="14" t="s">
        <v>657</v>
      </c>
      <c r="D318" s="10"/>
      <c r="E318" s="10" t="s">
        <v>259</v>
      </c>
      <c r="F318" s="116" t="n">
        <v>5.2682</v>
      </c>
      <c r="G318" s="116" t="n">
        <v>0</v>
      </c>
      <c r="H318" s="116">
        <f>F318*AO318</f>
      </c>
      <c r="I318" s="116">
        <f>F318*AP318</f>
      </c>
      <c r="J318" s="116">
        <f>F318*G318</f>
      </c>
      <c r="K318" s="149" t="s">
        <v>159</v>
      </c>
      <c r="Z318" s="116">
        <f>IF(AQ318="5",BJ318,0)</f>
      </c>
      <c r="AB318" s="116">
        <f>IF(AQ318="1",BH318,0)</f>
      </c>
      <c r="AC318" s="116">
        <f>IF(AQ318="1",BI318,0)</f>
      </c>
      <c r="AD318" s="116">
        <f>IF(AQ318="7",BH318,0)</f>
      </c>
      <c r="AE318" s="116">
        <f>IF(AQ318="7",BI318,0)</f>
      </c>
      <c r="AF318" s="116">
        <f>IF(AQ318="2",BH318,0)</f>
      </c>
      <c r="AG318" s="116">
        <f>IF(AQ318="2",BI318,0)</f>
      </c>
      <c r="AH318" s="116">
        <f>IF(AQ318="0",BJ318,0)</f>
      </c>
      <c r="AI318" s="131" t="s">
        <v>103</v>
      </c>
      <c r="AJ318" s="116">
        <f>IF(AN318=0,J318,0)</f>
      </c>
      <c r="AK318" s="116">
        <f>IF(AN318=12,J318,0)</f>
      </c>
      <c r="AL318" s="116">
        <f>IF(AN318=21,J318,0)</f>
      </c>
      <c r="AN318" s="116" t="n">
        <v>21</v>
      </c>
      <c r="AO318" s="116">
        <f>G318*0</f>
      </c>
      <c r="AP318" s="116">
        <f>G318*(1-0)</f>
      </c>
      <c r="AQ318" s="150" t="s">
        <v>93</v>
      </c>
      <c r="AV318" s="116">
        <f>AW318+AX318</f>
      </c>
      <c r="AW318" s="116">
        <f>F318*AO318</f>
      </c>
      <c r="AX318" s="116">
        <f>F318*AP318</f>
      </c>
      <c r="AY318" s="150" t="s">
        <v>658</v>
      </c>
      <c r="AZ318" s="150" t="s">
        <v>636</v>
      </c>
      <c r="BA318" s="131" t="s">
        <v>288</v>
      </c>
      <c r="BC318" s="116">
        <f>AW318+AX318</f>
      </c>
      <c r="BD318" s="116">
        <f>G318/(100-BE318)*100</f>
      </c>
      <c r="BE318" s="116" t="n">
        <v>0</v>
      </c>
      <c r="BF318" s="116">
        <f>318</f>
      </c>
      <c r="BH318" s="116">
        <f>F318*AO318</f>
      </c>
      <c r="BI318" s="116">
        <f>F318*AP318</f>
      </c>
      <c r="BJ318" s="116">
        <f>F318*G318</f>
      </c>
      <c r="BK318" s="116"/>
      <c r="BL318" s="116"/>
      <c r="BW318" s="116" t="n">
        <v>21</v>
      </c>
      <c r="BX318" s="14" t="s">
        <v>657</v>
      </c>
    </row>
    <row r="319">
      <c r="A319" s="151"/>
      <c r="C319" s="152" t="s">
        <v>659</v>
      </c>
      <c r="D319" s="152" t="s">
        <v>4</v>
      </c>
      <c r="F319" s="153" t="n">
        <v>5.2682</v>
      </c>
      <c r="K319" s="154"/>
    </row>
    <row r="320" ht="36.75">
      <c r="A320" s="151"/>
      <c r="B320" s="157" t="s">
        <v>177</v>
      </c>
      <c r="C320" s="155" t="s">
        <v>660</v>
      </c>
      <c r="D320" s="152"/>
      <c r="E320" s="152"/>
      <c r="F320" s="152"/>
      <c r="G320" s="152"/>
      <c r="H320" s="152"/>
      <c r="I320" s="152"/>
      <c r="J320" s="152"/>
      <c r="K320" s="156"/>
      <c r="BX320" s="155" t="s">
        <v>660</v>
      </c>
    </row>
    <row r="321">
      <c r="A321" s="144" t="s">
        <v>4</v>
      </c>
      <c r="B321" s="145" t="s">
        <v>661</v>
      </c>
      <c r="C321" s="146" t="s">
        <v>36</v>
      </c>
      <c r="D321" s="145"/>
      <c r="E321" s="147" t="s">
        <v>79</v>
      </c>
      <c r="F321" s="147" t="s">
        <v>79</v>
      </c>
      <c r="G321" s="147" t="s">
        <v>79</v>
      </c>
      <c r="H321" s="123">
        <f>SUM(H322:H378)</f>
      </c>
      <c r="I321" s="123">
        <f>SUM(I322:I378)</f>
      </c>
      <c r="J321" s="123">
        <f>SUM(J322:J378)</f>
      </c>
      <c r="K321" s="148" t="s">
        <v>4</v>
      </c>
      <c r="AI321" s="131" t="s">
        <v>103</v>
      </c>
      <c r="AS321" s="123">
        <f>SUM(AJ322:AJ378)</f>
      </c>
      <c r="AT321" s="123">
        <f>SUM(AK322:AK378)</f>
      </c>
      <c r="AU321" s="123">
        <f>SUM(AL322:AL378)</f>
      </c>
    </row>
    <row r="322">
      <c r="A322" s="158" t="s">
        <v>579</v>
      </c>
      <c r="B322" s="159" t="s">
        <v>662</v>
      </c>
      <c r="C322" s="160" t="s">
        <v>663</v>
      </c>
      <c r="D322" s="159"/>
      <c r="E322" s="159" t="s">
        <v>463</v>
      </c>
      <c r="F322" s="161" t="n">
        <v>1</v>
      </c>
      <c r="G322" s="161" t="n">
        <v>0</v>
      </c>
      <c r="H322" s="161">
        <f>F322*AO322</f>
      </c>
      <c r="I322" s="161">
        <f>F322*AP322</f>
      </c>
      <c r="J322" s="161">
        <f>F322*G322</f>
      </c>
      <c r="K322" s="162" t="s">
        <v>464</v>
      </c>
      <c r="Z322" s="116">
        <f>IF(AQ322="5",BJ322,0)</f>
      </c>
      <c r="AB322" s="116">
        <f>IF(AQ322="1",BH322,0)</f>
      </c>
      <c r="AC322" s="116">
        <f>IF(AQ322="1",BI322,0)</f>
      </c>
      <c r="AD322" s="116">
        <f>IF(AQ322="7",BH322,0)</f>
      </c>
      <c r="AE322" s="116">
        <f>IF(AQ322="7",BI322,0)</f>
      </c>
      <c r="AF322" s="116">
        <f>IF(AQ322="2",BH322,0)</f>
      </c>
      <c r="AG322" s="116">
        <f>IF(AQ322="2",BI322,0)</f>
      </c>
      <c r="AH322" s="116">
        <f>IF(AQ322="0",BJ322,0)</f>
      </c>
      <c r="AI322" s="131" t="s">
        <v>103</v>
      </c>
      <c r="AJ322" s="161">
        <f>IF(AN322=0,J322,0)</f>
      </c>
      <c r="AK322" s="161">
        <f>IF(AN322=12,J322,0)</f>
      </c>
      <c r="AL322" s="161">
        <f>IF(AN322=21,J322,0)</f>
      </c>
      <c r="AN322" s="116" t="n">
        <v>21</v>
      </c>
      <c r="AO322" s="116">
        <f>G322*1</f>
      </c>
      <c r="AP322" s="116">
        <f>G322*(1-1)</f>
      </c>
      <c r="AQ322" s="163" t="s">
        <v>664</v>
      </c>
      <c r="AV322" s="116">
        <f>AW322+AX322</f>
      </c>
      <c r="AW322" s="116">
        <f>F322*AO322</f>
      </c>
      <c r="AX322" s="116">
        <f>F322*AP322</f>
      </c>
      <c r="AY322" s="150" t="s">
        <v>665</v>
      </c>
      <c r="AZ322" s="150" t="s">
        <v>666</v>
      </c>
      <c r="BA322" s="131" t="s">
        <v>288</v>
      </c>
      <c r="BC322" s="116">
        <f>AW322+AX322</f>
      </c>
      <c r="BD322" s="116">
        <f>G322/(100-BE322)*100</f>
      </c>
      <c r="BE322" s="116" t="n">
        <v>0</v>
      </c>
      <c r="BF322" s="116">
        <f>322</f>
      </c>
      <c r="BH322" s="161">
        <f>F322*AO322</f>
      </c>
      <c r="BI322" s="161">
        <f>F322*AP322</f>
      </c>
      <c r="BJ322" s="161">
        <f>F322*G322</f>
      </c>
      <c r="BK322" s="161"/>
      <c r="BL322" s="116"/>
      <c r="BW322" s="116" t="n">
        <v>21</v>
      </c>
      <c r="BX322" s="160" t="s">
        <v>663</v>
      </c>
    </row>
    <row r="323">
      <c r="A323" s="151"/>
      <c r="C323" s="152" t="s">
        <v>88</v>
      </c>
      <c r="D323" s="152" t="s">
        <v>4</v>
      </c>
      <c r="F323" s="153" t="n">
        <v>1</v>
      </c>
      <c r="K323" s="154"/>
    </row>
    <row r="324" customHeight="true" ht="310.5">
      <c r="A324" s="151"/>
      <c r="B324" s="157" t="s">
        <v>56</v>
      </c>
      <c r="C324" s="155" t="s">
        <v>667</v>
      </c>
      <c r="D324" s="152"/>
      <c r="E324" s="152"/>
      <c r="F324" s="152"/>
      <c r="G324" s="152"/>
      <c r="H324" s="152"/>
      <c r="I324" s="152"/>
      <c r="J324" s="152"/>
      <c r="K324" s="156"/>
    </row>
    <row r="325">
      <c r="A325" s="158" t="s">
        <v>630</v>
      </c>
      <c r="B325" s="159" t="s">
        <v>668</v>
      </c>
      <c r="C325" s="160" t="s">
        <v>669</v>
      </c>
      <c r="D325" s="159"/>
      <c r="E325" s="159" t="s">
        <v>463</v>
      </c>
      <c r="F325" s="161" t="n">
        <v>3</v>
      </c>
      <c r="G325" s="161" t="n">
        <v>0</v>
      </c>
      <c r="H325" s="161">
        <f>F325*AO325</f>
      </c>
      <c r="I325" s="161">
        <f>F325*AP325</f>
      </c>
      <c r="J325" s="161">
        <f>F325*G325</f>
      </c>
      <c r="K325" s="162" t="s">
        <v>464</v>
      </c>
      <c r="Z325" s="116">
        <f>IF(AQ325="5",BJ325,0)</f>
      </c>
      <c r="AB325" s="116">
        <f>IF(AQ325="1",BH325,0)</f>
      </c>
      <c r="AC325" s="116">
        <f>IF(AQ325="1",BI325,0)</f>
      </c>
      <c r="AD325" s="116">
        <f>IF(AQ325="7",BH325,0)</f>
      </c>
      <c r="AE325" s="116">
        <f>IF(AQ325="7",BI325,0)</f>
      </c>
      <c r="AF325" s="116">
        <f>IF(AQ325="2",BH325,0)</f>
      </c>
      <c r="AG325" s="116">
        <f>IF(AQ325="2",BI325,0)</f>
      </c>
      <c r="AH325" s="116">
        <f>IF(AQ325="0",BJ325,0)</f>
      </c>
      <c r="AI325" s="131" t="s">
        <v>103</v>
      </c>
      <c r="AJ325" s="161">
        <f>IF(AN325=0,J325,0)</f>
      </c>
      <c r="AK325" s="161">
        <f>IF(AN325=12,J325,0)</f>
      </c>
      <c r="AL325" s="161">
        <f>IF(AN325=21,J325,0)</f>
      </c>
      <c r="AN325" s="116" t="n">
        <v>21</v>
      </c>
      <c r="AO325" s="116">
        <f>G325*1</f>
      </c>
      <c r="AP325" s="116">
        <f>G325*(1-1)</f>
      </c>
      <c r="AQ325" s="163" t="s">
        <v>664</v>
      </c>
      <c r="AV325" s="116">
        <f>AW325+AX325</f>
      </c>
      <c r="AW325" s="116">
        <f>F325*AO325</f>
      </c>
      <c r="AX325" s="116">
        <f>F325*AP325</f>
      </c>
      <c r="AY325" s="150" t="s">
        <v>665</v>
      </c>
      <c r="AZ325" s="150" t="s">
        <v>666</v>
      </c>
      <c r="BA325" s="131" t="s">
        <v>288</v>
      </c>
      <c r="BC325" s="116">
        <f>AW325+AX325</f>
      </c>
      <c r="BD325" s="116">
        <f>G325/(100-BE325)*100</f>
      </c>
      <c r="BE325" s="116" t="n">
        <v>0</v>
      </c>
      <c r="BF325" s="116">
        <f>325</f>
      </c>
      <c r="BH325" s="161">
        <f>F325*AO325</f>
      </c>
      <c r="BI325" s="161">
        <f>F325*AP325</f>
      </c>
      <c r="BJ325" s="161">
        <f>F325*G325</f>
      </c>
      <c r="BK325" s="161"/>
      <c r="BL325" s="116"/>
      <c r="BW325" s="116" t="n">
        <v>21</v>
      </c>
      <c r="BX325" s="160" t="s">
        <v>669</v>
      </c>
    </row>
    <row r="326">
      <c r="A326" s="151"/>
      <c r="C326" s="152" t="s">
        <v>91</v>
      </c>
      <c r="D326" s="152" t="s">
        <v>4</v>
      </c>
      <c r="F326" s="153" t="n">
        <v>3</v>
      </c>
      <c r="K326" s="154"/>
    </row>
    <row r="327" customHeight="true" ht="54">
      <c r="A327" s="151"/>
      <c r="B327" s="157" t="s">
        <v>56</v>
      </c>
      <c r="C327" s="155" t="s">
        <v>670</v>
      </c>
      <c r="D327" s="152"/>
      <c r="E327" s="152"/>
      <c r="F327" s="152"/>
      <c r="G327" s="152"/>
      <c r="H327" s="152"/>
      <c r="I327" s="152"/>
      <c r="J327" s="152"/>
      <c r="K327" s="156"/>
    </row>
    <row r="328">
      <c r="A328" s="158" t="s">
        <v>671</v>
      </c>
      <c r="B328" s="159" t="s">
        <v>672</v>
      </c>
      <c r="C328" s="160" t="s">
        <v>673</v>
      </c>
      <c r="D328" s="159"/>
      <c r="E328" s="159" t="s">
        <v>463</v>
      </c>
      <c r="F328" s="161" t="n">
        <v>1</v>
      </c>
      <c r="G328" s="161" t="n">
        <v>0</v>
      </c>
      <c r="H328" s="161">
        <f>F328*AO328</f>
      </c>
      <c r="I328" s="161">
        <f>F328*AP328</f>
      </c>
      <c r="J328" s="161">
        <f>F328*G328</f>
      </c>
      <c r="K328" s="162" t="s">
        <v>464</v>
      </c>
      <c r="Z328" s="116">
        <f>IF(AQ328="5",BJ328,0)</f>
      </c>
      <c r="AB328" s="116">
        <f>IF(AQ328="1",BH328,0)</f>
      </c>
      <c r="AC328" s="116">
        <f>IF(AQ328="1",BI328,0)</f>
      </c>
      <c r="AD328" s="116">
        <f>IF(AQ328="7",BH328,0)</f>
      </c>
      <c r="AE328" s="116">
        <f>IF(AQ328="7",BI328,0)</f>
      </c>
      <c r="AF328" s="116">
        <f>IF(AQ328="2",BH328,0)</f>
      </c>
      <c r="AG328" s="116">
        <f>IF(AQ328="2",BI328,0)</f>
      </c>
      <c r="AH328" s="116">
        <f>IF(AQ328="0",BJ328,0)</f>
      </c>
      <c r="AI328" s="131" t="s">
        <v>103</v>
      </c>
      <c r="AJ328" s="161">
        <f>IF(AN328=0,J328,0)</f>
      </c>
      <c r="AK328" s="161">
        <f>IF(AN328=12,J328,0)</f>
      </c>
      <c r="AL328" s="161">
        <f>IF(AN328=21,J328,0)</f>
      </c>
      <c r="AN328" s="116" t="n">
        <v>21</v>
      </c>
      <c r="AO328" s="116">
        <f>G328*1</f>
      </c>
      <c r="AP328" s="116">
        <f>G328*(1-1)</f>
      </c>
      <c r="AQ328" s="163" t="s">
        <v>664</v>
      </c>
      <c r="AV328" s="116">
        <f>AW328+AX328</f>
      </c>
      <c r="AW328" s="116">
        <f>F328*AO328</f>
      </c>
      <c r="AX328" s="116">
        <f>F328*AP328</f>
      </c>
      <c r="AY328" s="150" t="s">
        <v>665</v>
      </c>
      <c r="AZ328" s="150" t="s">
        <v>666</v>
      </c>
      <c r="BA328" s="131" t="s">
        <v>288</v>
      </c>
      <c r="BC328" s="116">
        <f>AW328+AX328</f>
      </c>
      <c r="BD328" s="116">
        <f>G328/(100-BE328)*100</f>
      </c>
      <c r="BE328" s="116" t="n">
        <v>0</v>
      </c>
      <c r="BF328" s="116">
        <f>328</f>
      </c>
      <c r="BH328" s="161">
        <f>F328*AO328</f>
      </c>
      <c r="BI328" s="161">
        <f>F328*AP328</f>
      </c>
      <c r="BJ328" s="161">
        <f>F328*G328</f>
      </c>
      <c r="BK328" s="161"/>
      <c r="BL328" s="116"/>
      <c r="BW328" s="116" t="n">
        <v>21</v>
      </c>
      <c r="BX328" s="160" t="s">
        <v>673</v>
      </c>
    </row>
    <row r="329">
      <c r="A329" s="151"/>
      <c r="C329" s="152" t="s">
        <v>88</v>
      </c>
      <c r="D329" s="152" t="s">
        <v>4</v>
      </c>
      <c r="F329" s="153" t="n">
        <v>1</v>
      </c>
      <c r="K329" s="154"/>
    </row>
    <row r="330" customHeight="true" ht="121.5">
      <c r="A330" s="151"/>
      <c r="B330" s="157" t="s">
        <v>56</v>
      </c>
      <c r="C330" s="155" t="s">
        <v>674</v>
      </c>
      <c r="D330" s="152"/>
      <c r="E330" s="152"/>
      <c r="F330" s="152"/>
      <c r="G330" s="152"/>
      <c r="H330" s="152"/>
      <c r="I330" s="152"/>
      <c r="J330" s="152"/>
      <c r="K330" s="156"/>
    </row>
    <row r="331">
      <c r="A331" s="158" t="s">
        <v>675</v>
      </c>
      <c r="B331" s="159" t="s">
        <v>676</v>
      </c>
      <c r="C331" s="160" t="s">
        <v>677</v>
      </c>
      <c r="D331" s="159"/>
      <c r="E331" s="159" t="s">
        <v>463</v>
      </c>
      <c r="F331" s="161" t="n">
        <v>17.6</v>
      </c>
      <c r="G331" s="161" t="n">
        <v>0</v>
      </c>
      <c r="H331" s="161">
        <f>F331*AO331</f>
      </c>
      <c r="I331" s="161">
        <f>F331*AP331</f>
      </c>
      <c r="J331" s="161">
        <f>F331*G331</f>
      </c>
      <c r="K331" s="162" t="s">
        <v>159</v>
      </c>
      <c r="Z331" s="116">
        <f>IF(AQ331="5",BJ331,0)</f>
      </c>
      <c r="AB331" s="116">
        <f>IF(AQ331="1",BH331,0)</f>
      </c>
      <c r="AC331" s="116">
        <f>IF(AQ331="1",BI331,0)</f>
      </c>
      <c r="AD331" s="116">
        <f>IF(AQ331="7",BH331,0)</f>
      </c>
      <c r="AE331" s="116">
        <f>IF(AQ331="7",BI331,0)</f>
      </c>
      <c r="AF331" s="116">
        <f>IF(AQ331="2",BH331,0)</f>
      </c>
      <c r="AG331" s="116">
        <f>IF(AQ331="2",BI331,0)</f>
      </c>
      <c r="AH331" s="116">
        <f>IF(AQ331="0",BJ331,0)</f>
      </c>
      <c r="AI331" s="131" t="s">
        <v>103</v>
      </c>
      <c r="AJ331" s="161">
        <f>IF(AN331=0,J331,0)</f>
      </c>
      <c r="AK331" s="161">
        <f>IF(AN331=12,J331,0)</f>
      </c>
      <c r="AL331" s="161">
        <f>IF(AN331=21,J331,0)</f>
      </c>
      <c r="AN331" s="116" t="n">
        <v>21</v>
      </c>
      <c r="AO331" s="116">
        <f>G331*1</f>
      </c>
      <c r="AP331" s="116">
        <f>G331*(1-1)</f>
      </c>
      <c r="AQ331" s="163" t="s">
        <v>664</v>
      </c>
      <c r="AV331" s="116">
        <f>AW331+AX331</f>
      </c>
      <c r="AW331" s="116">
        <f>F331*AO331</f>
      </c>
      <c r="AX331" s="116">
        <f>F331*AP331</f>
      </c>
      <c r="AY331" s="150" t="s">
        <v>665</v>
      </c>
      <c r="AZ331" s="150" t="s">
        <v>666</v>
      </c>
      <c r="BA331" s="131" t="s">
        <v>288</v>
      </c>
      <c r="BC331" s="116">
        <f>AW331+AX331</f>
      </c>
      <c r="BD331" s="116">
        <f>G331/(100-BE331)*100</f>
      </c>
      <c r="BE331" s="116" t="n">
        <v>0</v>
      </c>
      <c r="BF331" s="116">
        <f>331</f>
      </c>
      <c r="BH331" s="161">
        <f>F331*AO331</f>
      </c>
      <c r="BI331" s="161">
        <f>F331*AP331</f>
      </c>
      <c r="BJ331" s="161">
        <f>F331*G331</f>
      </c>
      <c r="BK331" s="161"/>
      <c r="BL331" s="116"/>
      <c r="BW331" s="116" t="n">
        <v>21</v>
      </c>
      <c r="BX331" s="160" t="s">
        <v>677</v>
      </c>
    </row>
    <row r="332">
      <c r="A332" s="151"/>
      <c r="C332" s="152" t="s">
        <v>263</v>
      </c>
      <c r="D332" s="152" t="s">
        <v>4</v>
      </c>
      <c r="F332" s="153" t="n">
        <v>16</v>
      </c>
      <c r="K332" s="154"/>
    </row>
    <row r="333">
      <c r="A333" s="151"/>
      <c r="C333" s="152" t="s">
        <v>678</v>
      </c>
      <c r="D333" s="152" t="s">
        <v>4</v>
      </c>
      <c r="F333" s="153" t="n">
        <v>1.6</v>
      </c>
      <c r="K333" s="154"/>
    </row>
    <row r="334" ht="48.75">
      <c r="A334" s="151"/>
      <c r="B334" s="157" t="s">
        <v>177</v>
      </c>
      <c r="C334" s="155" t="s">
        <v>679</v>
      </c>
      <c r="D334" s="152"/>
      <c r="E334" s="152"/>
      <c r="F334" s="152"/>
      <c r="G334" s="152"/>
      <c r="H334" s="152"/>
      <c r="I334" s="152"/>
      <c r="J334" s="152"/>
      <c r="K334" s="156"/>
      <c r="BX334" s="164" t="s">
        <v>679</v>
      </c>
    </row>
    <row r="335">
      <c r="A335" s="158" t="s">
        <v>639</v>
      </c>
      <c r="B335" s="159" t="s">
        <v>680</v>
      </c>
      <c r="C335" s="160" t="s">
        <v>681</v>
      </c>
      <c r="D335" s="159"/>
      <c r="E335" s="159" t="s">
        <v>463</v>
      </c>
      <c r="F335" s="161" t="n">
        <v>33</v>
      </c>
      <c r="G335" s="161" t="n">
        <v>0</v>
      </c>
      <c r="H335" s="161">
        <f>F335*AO335</f>
      </c>
      <c r="I335" s="161">
        <f>F335*AP335</f>
      </c>
      <c r="J335" s="161">
        <f>F335*G335</f>
      </c>
      <c r="K335" s="162" t="s">
        <v>159</v>
      </c>
      <c r="Z335" s="116">
        <f>IF(AQ335="5",BJ335,0)</f>
      </c>
      <c r="AB335" s="116">
        <f>IF(AQ335="1",BH335,0)</f>
      </c>
      <c r="AC335" s="116">
        <f>IF(AQ335="1",BI335,0)</f>
      </c>
      <c r="AD335" s="116">
        <f>IF(AQ335="7",BH335,0)</f>
      </c>
      <c r="AE335" s="116">
        <f>IF(AQ335="7",BI335,0)</f>
      </c>
      <c r="AF335" s="116">
        <f>IF(AQ335="2",BH335,0)</f>
      </c>
      <c r="AG335" s="116">
        <f>IF(AQ335="2",BI335,0)</f>
      </c>
      <c r="AH335" s="116">
        <f>IF(AQ335="0",BJ335,0)</f>
      </c>
      <c r="AI335" s="131" t="s">
        <v>103</v>
      </c>
      <c r="AJ335" s="161">
        <f>IF(AN335=0,J335,0)</f>
      </c>
      <c r="AK335" s="161">
        <f>IF(AN335=12,J335,0)</f>
      </c>
      <c r="AL335" s="161">
        <f>IF(AN335=21,J335,0)</f>
      </c>
      <c r="AN335" s="116" t="n">
        <v>21</v>
      </c>
      <c r="AO335" s="116">
        <f>G335*1</f>
      </c>
      <c r="AP335" s="116">
        <f>G335*(1-1)</f>
      </c>
      <c r="AQ335" s="163" t="s">
        <v>664</v>
      </c>
      <c r="AV335" s="116">
        <f>AW335+AX335</f>
      </c>
      <c r="AW335" s="116">
        <f>F335*AO335</f>
      </c>
      <c r="AX335" s="116">
        <f>F335*AP335</f>
      </c>
      <c r="AY335" s="150" t="s">
        <v>665</v>
      </c>
      <c r="AZ335" s="150" t="s">
        <v>666</v>
      </c>
      <c r="BA335" s="131" t="s">
        <v>288</v>
      </c>
      <c r="BC335" s="116">
        <f>AW335+AX335</f>
      </c>
      <c r="BD335" s="116">
        <f>G335/(100-BE335)*100</f>
      </c>
      <c r="BE335" s="116" t="n">
        <v>0</v>
      </c>
      <c r="BF335" s="116">
        <f>335</f>
      </c>
      <c r="BH335" s="161">
        <f>F335*AO335</f>
      </c>
      <c r="BI335" s="161">
        <f>F335*AP335</f>
      </c>
      <c r="BJ335" s="161">
        <f>F335*G335</f>
      </c>
      <c r="BK335" s="161"/>
      <c r="BL335" s="116"/>
      <c r="BW335" s="116" t="n">
        <v>21</v>
      </c>
      <c r="BX335" s="160" t="s">
        <v>681</v>
      </c>
    </row>
    <row r="336">
      <c r="A336" s="151"/>
      <c r="C336" s="152" t="s">
        <v>344</v>
      </c>
      <c r="D336" s="152" t="s">
        <v>4</v>
      </c>
      <c r="F336" s="153" t="n">
        <v>30</v>
      </c>
      <c r="K336" s="154"/>
    </row>
    <row r="337">
      <c r="A337" s="151"/>
      <c r="C337" s="152" t="s">
        <v>682</v>
      </c>
      <c r="D337" s="152" t="s">
        <v>4</v>
      </c>
      <c r="F337" s="153" t="n">
        <v>3</v>
      </c>
      <c r="K337" s="154"/>
    </row>
    <row r="338" ht="48.75">
      <c r="A338" s="151"/>
      <c r="B338" s="157" t="s">
        <v>177</v>
      </c>
      <c r="C338" s="155" t="s">
        <v>683</v>
      </c>
      <c r="D338" s="152"/>
      <c r="E338" s="152"/>
      <c r="F338" s="152"/>
      <c r="G338" s="152"/>
      <c r="H338" s="152"/>
      <c r="I338" s="152"/>
      <c r="J338" s="152"/>
      <c r="K338" s="156"/>
      <c r="BX338" s="164" t="s">
        <v>683</v>
      </c>
    </row>
    <row r="339">
      <c r="A339" s="158" t="s">
        <v>684</v>
      </c>
      <c r="B339" s="159" t="s">
        <v>685</v>
      </c>
      <c r="C339" s="160" t="s">
        <v>686</v>
      </c>
      <c r="D339" s="159"/>
      <c r="E339" s="159" t="s">
        <v>216</v>
      </c>
      <c r="F339" s="161" t="n">
        <v>541.2</v>
      </c>
      <c r="G339" s="161" t="n">
        <v>0</v>
      </c>
      <c r="H339" s="161">
        <f>F339*AO339</f>
      </c>
      <c r="I339" s="161">
        <f>F339*AP339</f>
      </c>
      <c r="J339" s="161">
        <f>F339*G339</f>
      </c>
      <c r="K339" s="162" t="s">
        <v>159</v>
      </c>
      <c r="Z339" s="116">
        <f>IF(AQ339="5",BJ339,0)</f>
      </c>
      <c r="AB339" s="116">
        <f>IF(AQ339="1",BH339,0)</f>
      </c>
      <c r="AC339" s="116">
        <f>IF(AQ339="1",BI339,0)</f>
      </c>
      <c r="AD339" s="116">
        <f>IF(AQ339="7",BH339,0)</f>
      </c>
      <c r="AE339" s="116">
        <f>IF(AQ339="7",BI339,0)</f>
      </c>
      <c r="AF339" s="116">
        <f>IF(AQ339="2",BH339,0)</f>
      </c>
      <c r="AG339" s="116">
        <f>IF(AQ339="2",BI339,0)</f>
      </c>
      <c r="AH339" s="116">
        <f>IF(AQ339="0",BJ339,0)</f>
      </c>
      <c r="AI339" s="131" t="s">
        <v>103</v>
      </c>
      <c r="AJ339" s="161">
        <f>IF(AN339=0,J339,0)</f>
      </c>
      <c r="AK339" s="161">
        <f>IF(AN339=12,J339,0)</f>
      </c>
      <c r="AL339" s="161">
        <f>IF(AN339=21,J339,0)</f>
      </c>
      <c r="AN339" s="116" t="n">
        <v>21</v>
      </c>
      <c r="AO339" s="116">
        <f>G339*1</f>
      </c>
      <c r="AP339" s="116">
        <f>G339*(1-1)</f>
      </c>
      <c r="AQ339" s="163" t="s">
        <v>664</v>
      </c>
      <c r="AV339" s="116">
        <f>AW339+AX339</f>
      </c>
      <c r="AW339" s="116">
        <f>F339*AO339</f>
      </c>
      <c r="AX339" s="116">
        <f>F339*AP339</f>
      </c>
      <c r="AY339" s="150" t="s">
        <v>665</v>
      </c>
      <c r="AZ339" s="150" t="s">
        <v>666</v>
      </c>
      <c r="BA339" s="131" t="s">
        <v>288</v>
      </c>
      <c r="BC339" s="116">
        <f>AW339+AX339</f>
      </c>
      <c r="BD339" s="116">
        <f>G339/(100-BE339)*100</f>
      </c>
      <c r="BE339" s="116" t="n">
        <v>0</v>
      </c>
      <c r="BF339" s="116">
        <f>339</f>
      </c>
      <c r="BH339" s="161">
        <f>F339*AO339</f>
      </c>
      <c r="BI339" s="161">
        <f>F339*AP339</f>
      </c>
      <c r="BJ339" s="161">
        <f>F339*G339</f>
      </c>
      <c r="BK339" s="161"/>
      <c r="BL339" s="116"/>
      <c r="BW339" s="116" t="n">
        <v>21</v>
      </c>
      <c r="BX339" s="160" t="s">
        <v>686</v>
      </c>
    </row>
    <row r="340">
      <c r="A340" s="151"/>
      <c r="C340" s="152" t="s">
        <v>330</v>
      </c>
      <c r="D340" s="152" t="s">
        <v>4</v>
      </c>
      <c r="F340" s="153" t="n">
        <v>492</v>
      </c>
      <c r="K340" s="154"/>
    </row>
    <row r="341">
      <c r="A341" s="151"/>
      <c r="C341" s="152" t="s">
        <v>687</v>
      </c>
      <c r="D341" s="152" t="s">
        <v>4</v>
      </c>
      <c r="F341" s="153" t="n">
        <v>49.2</v>
      </c>
      <c r="K341" s="154"/>
    </row>
    <row r="342">
      <c r="A342" s="151"/>
      <c r="B342" s="157" t="s">
        <v>177</v>
      </c>
      <c r="C342" s="155" t="s">
        <v>688</v>
      </c>
      <c r="D342" s="152"/>
      <c r="E342" s="152"/>
      <c r="F342" s="152"/>
      <c r="G342" s="152"/>
      <c r="H342" s="152"/>
      <c r="I342" s="152"/>
      <c r="J342" s="152"/>
      <c r="K342" s="156"/>
      <c r="BX342" s="164" t="s">
        <v>688</v>
      </c>
    </row>
    <row r="343">
      <c r="A343" s="158" t="s">
        <v>689</v>
      </c>
      <c r="B343" s="159" t="s">
        <v>690</v>
      </c>
      <c r="C343" s="160" t="s">
        <v>691</v>
      </c>
      <c r="D343" s="159"/>
      <c r="E343" s="159" t="s">
        <v>463</v>
      </c>
      <c r="F343" s="161" t="n">
        <v>24</v>
      </c>
      <c r="G343" s="161" t="n">
        <v>0</v>
      </c>
      <c r="H343" s="161">
        <f>F343*AO343</f>
      </c>
      <c r="I343" s="161">
        <f>F343*AP343</f>
      </c>
      <c r="J343" s="161">
        <f>F343*G343</f>
      </c>
      <c r="K343" s="162" t="s">
        <v>159</v>
      </c>
      <c r="Z343" s="116">
        <f>IF(AQ343="5",BJ343,0)</f>
      </c>
      <c r="AB343" s="116">
        <f>IF(AQ343="1",BH343,0)</f>
      </c>
      <c r="AC343" s="116">
        <f>IF(AQ343="1",BI343,0)</f>
      </c>
      <c r="AD343" s="116">
        <f>IF(AQ343="7",BH343,0)</f>
      </c>
      <c r="AE343" s="116">
        <f>IF(AQ343="7",BI343,0)</f>
      </c>
      <c r="AF343" s="116">
        <f>IF(AQ343="2",BH343,0)</f>
      </c>
      <c r="AG343" s="116">
        <f>IF(AQ343="2",BI343,0)</f>
      </c>
      <c r="AH343" s="116">
        <f>IF(AQ343="0",BJ343,0)</f>
      </c>
      <c r="AI343" s="131" t="s">
        <v>103</v>
      </c>
      <c r="AJ343" s="161">
        <f>IF(AN343=0,J343,0)</f>
      </c>
      <c r="AK343" s="161">
        <f>IF(AN343=12,J343,0)</f>
      </c>
      <c r="AL343" s="161">
        <f>IF(AN343=21,J343,0)</f>
      </c>
      <c r="AN343" s="116" t="n">
        <v>21</v>
      </c>
      <c r="AO343" s="116">
        <f>G343*1</f>
      </c>
      <c r="AP343" s="116">
        <f>G343*(1-1)</f>
      </c>
      <c r="AQ343" s="163" t="s">
        <v>664</v>
      </c>
      <c r="AV343" s="116">
        <f>AW343+AX343</f>
      </c>
      <c r="AW343" s="116">
        <f>F343*AO343</f>
      </c>
      <c r="AX343" s="116">
        <f>F343*AP343</f>
      </c>
      <c r="AY343" s="150" t="s">
        <v>665</v>
      </c>
      <c r="AZ343" s="150" t="s">
        <v>666</v>
      </c>
      <c r="BA343" s="131" t="s">
        <v>288</v>
      </c>
      <c r="BC343" s="116">
        <f>AW343+AX343</f>
      </c>
      <c r="BD343" s="116">
        <f>G343/(100-BE343)*100</f>
      </c>
      <c r="BE343" s="116" t="n">
        <v>0</v>
      </c>
      <c r="BF343" s="116">
        <f>343</f>
      </c>
      <c r="BH343" s="161">
        <f>F343*AO343</f>
      </c>
      <c r="BI343" s="161">
        <f>F343*AP343</f>
      </c>
      <c r="BJ343" s="161">
        <f>F343*G343</f>
      </c>
      <c r="BK343" s="161"/>
      <c r="BL343" s="116"/>
      <c r="BW343" s="116" t="n">
        <v>21</v>
      </c>
      <c r="BX343" s="160" t="s">
        <v>691</v>
      </c>
    </row>
    <row r="344">
      <c r="A344" s="151"/>
      <c r="C344" s="152" t="s">
        <v>310</v>
      </c>
      <c r="D344" s="152" t="s">
        <v>4</v>
      </c>
      <c r="F344" s="153" t="n">
        <v>24</v>
      </c>
      <c r="K344" s="154"/>
    </row>
    <row r="345">
      <c r="A345" s="158" t="s">
        <v>454</v>
      </c>
      <c r="B345" s="159" t="s">
        <v>692</v>
      </c>
      <c r="C345" s="160" t="s">
        <v>693</v>
      </c>
      <c r="D345" s="159"/>
      <c r="E345" s="159" t="s">
        <v>463</v>
      </c>
      <c r="F345" s="161" t="n">
        <v>24</v>
      </c>
      <c r="G345" s="161" t="n">
        <v>0</v>
      </c>
      <c r="H345" s="161">
        <f>F345*AO345</f>
      </c>
      <c r="I345" s="161">
        <f>F345*AP345</f>
      </c>
      <c r="J345" s="161">
        <f>F345*G345</f>
      </c>
      <c r="K345" s="162" t="s">
        <v>159</v>
      </c>
      <c r="Z345" s="116">
        <f>IF(AQ345="5",BJ345,0)</f>
      </c>
      <c r="AB345" s="116">
        <f>IF(AQ345="1",BH345,0)</f>
      </c>
      <c r="AC345" s="116">
        <f>IF(AQ345="1",BI345,0)</f>
      </c>
      <c r="AD345" s="116">
        <f>IF(AQ345="7",BH345,0)</f>
      </c>
      <c r="AE345" s="116">
        <f>IF(AQ345="7",BI345,0)</f>
      </c>
      <c r="AF345" s="116">
        <f>IF(AQ345="2",BH345,0)</f>
      </c>
      <c r="AG345" s="116">
        <f>IF(AQ345="2",BI345,0)</f>
      </c>
      <c r="AH345" s="116">
        <f>IF(AQ345="0",BJ345,0)</f>
      </c>
      <c r="AI345" s="131" t="s">
        <v>103</v>
      </c>
      <c r="AJ345" s="161">
        <f>IF(AN345=0,J345,0)</f>
      </c>
      <c r="AK345" s="161">
        <f>IF(AN345=12,J345,0)</f>
      </c>
      <c r="AL345" s="161">
        <f>IF(AN345=21,J345,0)</f>
      </c>
      <c r="AN345" s="116" t="n">
        <v>21</v>
      </c>
      <c r="AO345" s="116">
        <f>G345*1</f>
      </c>
      <c r="AP345" s="116">
        <f>G345*(1-1)</f>
      </c>
      <c r="AQ345" s="163" t="s">
        <v>664</v>
      </c>
      <c r="AV345" s="116">
        <f>AW345+AX345</f>
      </c>
      <c r="AW345" s="116">
        <f>F345*AO345</f>
      </c>
      <c r="AX345" s="116">
        <f>F345*AP345</f>
      </c>
      <c r="AY345" s="150" t="s">
        <v>665</v>
      </c>
      <c r="AZ345" s="150" t="s">
        <v>666</v>
      </c>
      <c r="BA345" s="131" t="s">
        <v>288</v>
      </c>
      <c r="BC345" s="116">
        <f>AW345+AX345</f>
      </c>
      <c r="BD345" s="116">
        <f>G345/(100-BE345)*100</f>
      </c>
      <c r="BE345" s="116" t="n">
        <v>0</v>
      </c>
      <c r="BF345" s="116">
        <f>345</f>
      </c>
      <c r="BH345" s="161">
        <f>F345*AO345</f>
      </c>
      <c r="BI345" s="161">
        <f>F345*AP345</f>
      </c>
      <c r="BJ345" s="161">
        <f>F345*G345</f>
      </c>
      <c r="BK345" s="161"/>
      <c r="BL345" s="116"/>
      <c r="BW345" s="116" t="n">
        <v>21</v>
      </c>
      <c r="BX345" s="160" t="s">
        <v>693</v>
      </c>
    </row>
    <row r="346">
      <c r="A346" s="151"/>
      <c r="C346" s="152" t="s">
        <v>310</v>
      </c>
      <c r="D346" s="152" t="s">
        <v>4</v>
      </c>
      <c r="F346" s="153" t="n">
        <v>24</v>
      </c>
      <c r="K346" s="154"/>
    </row>
    <row r="347">
      <c r="A347" s="158" t="s">
        <v>647</v>
      </c>
      <c r="B347" s="159" t="s">
        <v>694</v>
      </c>
      <c r="C347" s="160" t="s">
        <v>695</v>
      </c>
      <c r="D347" s="159"/>
      <c r="E347" s="159" t="s">
        <v>463</v>
      </c>
      <c r="F347" s="161" t="n">
        <v>24</v>
      </c>
      <c r="G347" s="161" t="n">
        <v>0</v>
      </c>
      <c r="H347" s="161">
        <f>F347*AO347</f>
      </c>
      <c r="I347" s="161">
        <f>F347*AP347</f>
      </c>
      <c r="J347" s="161">
        <f>F347*G347</f>
      </c>
      <c r="K347" s="162" t="s">
        <v>159</v>
      </c>
      <c r="Z347" s="116">
        <f>IF(AQ347="5",BJ347,0)</f>
      </c>
      <c r="AB347" s="116">
        <f>IF(AQ347="1",BH347,0)</f>
      </c>
      <c r="AC347" s="116">
        <f>IF(AQ347="1",BI347,0)</f>
      </c>
      <c r="AD347" s="116">
        <f>IF(AQ347="7",BH347,0)</f>
      </c>
      <c r="AE347" s="116">
        <f>IF(AQ347="7",BI347,0)</f>
      </c>
      <c r="AF347" s="116">
        <f>IF(AQ347="2",BH347,0)</f>
      </c>
      <c r="AG347" s="116">
        <f>IF(AQ347="2",BI347,0)</f>
      </c>
      <c r="AH347" s="116">
        <f>IF(AQ347="0",BJ347,0)</f>
      </c>
      <c r="AI347" s="131" t="s">
        <v>103</v>
      </c>
      <c r="AJ347" s="161">
        <f>IF(AN347=0,J347,0)</f>
      </c>
      <c r="AK347" s="161">
        <f>IF(AN347=12,J347,0)</f>
      </c>
      <c r="AL347" s="161">
        <f>IF(AN347=21,J347,0)</f>
      </c>
      <c r="AN347" s="116" t="n">
        <v>21</v>
      </c>
      <c r="AO347" s="116">
        <f>G347*1</f>
      </c>
      <c r="AP347" s="116">
        <f>G347*(1-1)</f>
      </c>
      <c r="AQ347" s="163" t="s">
        <v>664</v>
      </c>
      <c r="AV347" s="116">
        <f>AW347+AX347</f>
      </c>
      <c r="AW347" s="116">
        <f>F347*AO347</f>
      </c>
      <c r="AX347" s="116">
        <f>F347*AP347</f>
      </c>
      <c r="AY347" s="150" t="s">
        <v>665</v>
      </c>
      <c r="AZ347" s="150" t="s">
        <v>666</v>
      </c>
      <c r="BA347" s="131" t="s">
        <v>288</v>
      </c>
      <c r="BC347" s="116">
        <f>AW347+AX347</f>
      </c>
      <c r="BD347" s="116">
        <f>G347/(100-BE347)*100</f>
      </c>
      <c r="BE347" s="116" t="n">
        <v>0</v>
      </c>
      <c r="BF347" s="116">
        <f>347</f>
      </c>
      <c r="BH347" s="161">
        <f>F347*AO347</f>
      </c>
      <c r="BI347" s="161">
        <f>F347*AP347</f>
      </c>
      <c r="BJ347" s="161">
        <f>F347*G347</f>
      </c>
      <c r="BK347" s="161"/>
      <c r="BL347" s="116"/>
      <c r="BW347" s="116" t="n">
        <v>21</v>
      </c>
      <c r="BX347" s="160" t="s">
        <v>695</v>
      </c>
    </row>
    <row r="348">
      <c r="A348" s="151"/>
      <c r="C348" s="152" t="s">
        <v>310</v>
      </c>
      <c r="D348" s="152" t="s">
        <v>4</v>
      </c>
      <c r="F348" s="153" t="n">
        <v>24</v>
      </c>
      <c r="K348" s="154"/>
    </row>
    <row r="349">
      <c r="A349" s="158" t="s">
        <v>696</v>
      </c>
      <c r="B349" s="159" t="s">
        <v>697</v>
      </c>
      <c r="C349" s="160" t="s">
        <v>698</v>
      </c>
      <c r="D349" s="159"/>
      <c r="E349" s="159" t="s">
        <v>463</v>
      </c>
      <c r="F349" s="161" t="n">
        <v>24</v>
      </c>
      <c r="G349" s="161" t="n">
        <v>0</v>
      </c>
      <c r="H349" s="161">
        <f>F349*AO349</f>
      </c>
      <c r="I349" s="161">
        <f>F349*AP349</f>
      </c>
      <c r="J349" s="161">
        <f>F349*G349</f>
      </c>
      <c r="K349" s="162" t="s">
        <v>159</v>
      </c>
      <c r="Z349" s="116">
        <f>IF(AQ349="5",BJ349,0)</f>
      </c>
      <c r="AB349" s="116">
        <f>IF(AQ349="1",BH349,0)</f>
      </c>
      <c r="AC349" s="116">
        <f>IF(AQ349="1",BI349,0)</f>
      </c>
      <c r="AD349" s="116">
        <f>IF(AQ349="7",BH349,0)</f>
      </c>
      <c r="AE349" s="116">
        <f>IF(AQ349="7",BI349,0)</f>
      </c>
      <c r="AF349" s="116">
        <f>IF(AQ349="2",BH349,0)</f>
      </c>
      <c r="AG349" s="116">
        <f>IF(AQ349="2",BI349,0)</f>
      </c>
      <c r="AH349" s="116">
        <f>IF(AQ349="0",BJ349,0)</f>
      </c>
      <c r="AI349" s="131" t="s">
        <v>103</v>
      </c>
      <c r="AJ349" s="161">
        <f>IF(AN349=0,J349,0)</f>
      </c>
      <c r="AK349" s="161">
        <f>IF(AN349=12,J349,0)</f>
      </c>
      <c r="AL349" s="161">
        <f>IF(AN349=21,J349,0)</f>
      </c>
      <c r="AN349" s="116" t="n">
        <v>21</v>
      </c>
      <c r="AO349" s="116">
        <f>G349*1</f>
      </c>
      <c r="AP349" s="116">
        <f>G349*(1-1)</f>
      </c>
      <c r="AQ349" s="163" t="s">
        <v>664</v>
      </c>
      <c r="AV349" s="116">
        <f>AW349+AX349</f>
      </c>
      <c r="AW349" s="116">
        <f>F349*AO349</f>
      </c>
      <c r="AX349" s="116">
        <f>F349*AP349</f>
      </c>
      <c r="AY349" s="150" t="s">
        <v>665</v>
      </c>
      <c r="AZ349" s="150" t="s">
        <v>666</v>
      </c>
      <c r="BA349" s="131" t="s">
        <v>288</v>
      </c>
      <c r="BC349" s="116">
        <f>AW349+AX349</f>
      </c>
      <c r="BD349" s="116">
        <f>G349/(100-BE349)*100</f>
      </c>
      <c r="BE349" s="116" t="n">
        <v>0</v>
      </c>
      <c r="BF349" s="116">
        <f>349</f>
      </c>
      <c r="BH349" s="161">
        <f>F349*AO349</f>
      </c>
      <c r="BI349" s="161">
        <f>F349*AP349</f>
      </c>
      <c r="BJ349" s="161">
        <f>F349*G349</f>
      </c>
      <c r="BK349" s="161"/>
      <c r="BL349" s="116"/>
      <c r="BW349" s="116" t="n">
        <v>21</v>
      </c>
      <c r="BX349" s="160" t="s">
        <v>698</v>
      </c>
    </row>
    <row r="350">
      <c r="A350" s="151"/>
      <c r="C350" s="152" t="s">
        <v>310</v>
      </c>
      <c r="D350" s="152" t="s">
        <v>4</v>
      </c>
      <c r="F350" s="153" t="n">
        <v>24</v>
      </c>
      <c r="K350" s="154"/>
    </row>
    <row r="351">
      <c r="A351" s="158" t="s">
        <v>273</v>
      </c>
      <c r="B351" s="159" t="s">
        <v>699</v>
      </c>
      <c r="C351" s="160" t="s">
        <v>700</v>
      </c>
      <c r="D351" s="159"/>
      <c r="E351" s="159" t="s">
        <v>463</v>
      </c>
      <c r="F351" s="161" t="n">
        <v>2.2</v>
      </c>
      <c r="G351" s="161" t="n">
        <v>0</v>
      </c>
      <c r="H351" s="161">
        <f>F351*AO351</f>
      </c>
      <c r="I351" s="161">
        <f>F351*AP351</f>
      </c>
      <c r="J351" s="161">
        <f>F351*G351</f>
      </c>
      <c r="K351" s="162" t="s">
        <v>159</v>
      </c>
      <c r="Z351" s="116">
        <f>IF(AQ351="5",BJ351,0)</f>
      </c>
      <c r="AB351" s="116">
        <f>IF(AQ351="1",BH351,0)</f>
      </c>
      <c r="AC351" s="116">
        <f>IF(AQ351="1",BI351,0)</f>
      </c>
      <c r="AD351" s="116">
        <f>IF(AQ351="7",BH351,0)</f>
      </c>
      <c r="AE351" s="116">
        <f>IF(AQ351="7",BI351,0)</f>
      </c>
      <c r="AF351" s="116">
        <f>IF(AQ351="2",BH351,0)</f>
      </c>
      <c r="AG351" s="116">
        <f>IF(AQ351="2",BI351,0)</f>
      </c>
      <c r="AH351" s="116">
        <f>IF(AQ351="0",BJ351,0)</f>
      </c>
      <c r="AI351" s="131" t="s">
        <v>103</v>
      </c>
      <c r="AJ351" s="161">
        <f>IF(AN351=0,J351,0)</f>
      </c>
      <c r="AK351" s="161">
        <f>IF(AN351=12,J351,0)</f>
      </c>
      <c r="AL351" s="161">
        <f>IF(AN351=21,J351,0)</f>
      </c>
      <c r="AN351" s="116" t="n">
        <v>21</v>
      </c>
      <c r="AO351" s="116">
        <f>G351*1</f>
      </c>
      <c r="AP351" s="116">
        <f>G351*(1-1)</f>
      </c>
      <c r="AQ351" s="163" t="s">
        <v>664</v>
      </c>
      <c r="AV351" s="116">
        <f>AW351+AX351</f>
      </c>
      <c r="AW351" s="116">
        <f>F351*AO351</f>
      </c>
      <c r="AX351" s="116">
        <f>F351*AP351</f>
      </c>
      <c r="AY351" s="150" t="s">
        <v>665</v>
      </c>
      <c r="AZ351" s="150" t="s">
        <v>666</v>
      </c>
      <c r="BA351" s="131" t="s">
        <v>288</v>
      </c>
      <c r="BC351" s="116">
        <f>AW351+AX351</f>
      </c>
      <c r="BD351" s="116">
        <f>G351/(100-BE351)*100</f>
      </c>
      <c r="BE351" s="116" t="n">
        <v>0</v>
      </c>
      <c r="BF351" s="116">
        <f>351</f>
      </c>
      <c r="BH351" s="161">
        <f>F351*AO351</f>
      </c>
      <c r="BI351" s="161">
        <f>F351*AP351</f>
      </c>
      <c r="BJ351" s="161">
        <f>F351*G351</f>
      </c>
      <c r="BK351" s="161"/>
      <c r="BL351" s="116"/>
      <c r="BW351" s="116" t="n">
        <v>21</v>
      </c>
      <c r="BX351" s="160" t="s">
        <v>700</v>
      </c>
    </row>
    <row r="352">
      <c r="A352" s="151"/>
      <c r="C352" s="152" t="s">
        <v>104</v>
      </c>
      <c r="D352" s="152" t="s">
        <v>701</v>
      </c>
      <c r="F352" s="153" t="n">
        <v>2</v>
      </c>
      <c r="K352" s="154"/>
    </row>
    <row r="353">
      <c r="A353" s="151"/>
      <c r="C353" s="152" t="s">
        <v>702</v>
      </c>
      <c r="D353" s="152" t="s">
        <v>4</v>
      </c>
      <c r="F353" s="153" t="n">
        <v>0.2</v>
      </c>
      <c r="K353" s="154"/>
    </row>
    <row r="354" ht="60.75">
      <c r="A354" s="151"/>
      <c r="B354" s="157" t="s">
        <v>177</v>
      </c>
      <c r="C354" s="155" t="s">
        <v>703</v>
      </c>
      <c r="D354" s="152"/>
      <c r="E354" s="152"/>
      <c r="F354" s="152"/>
      <c r="G354" s="152"/>
      <c r="H354" s="152"/>
      <c r="I354" s="152"/>
      <c r="J354" s="152"/>
      <c r="K354" s="156"/>
      <c r="BX354" s="164" t="s">
        <v>703</v>
      </c>
    </row>
    <row r="355">
      <c r="A355" s="158" t="s">
        <v>163</v>
      </c>
      <c r="B355" s="159" t="s">
        <v>704</v>
      </c>
      <c r="C355" s="160" t="s">
        <v>705</v>
      </c>
      <c r="D355" s="159"/>
      <c r="E355" s="159" t="s">
        <v>463</v>
      </c>
      <c r="F355" s="161" t="n">
        <v>24</v>
      </c>
      <c r="G355" s="161" t="n">
        <v>0</v>
      </c>
      <c r="H355" s="161">
        <f>F355*AO355</f>
      </c>
      <c r="I355" s="161">
        <f>F355*AP355</f>
      </c>
      <c r="J355" s="161">
        <f>F355*G355</f>
      </c>
      <c r="K355" s="162" t="s">
        <v>159</v>
      </c>
      <c r="Z355" s="116">
        <f>IF(AQ355="5",BJ355,0)</f>
      </c>
      <c r="AB355" s="116">
        <f>IF(AQ355="1",BH355,0)</f>
      </c>
      <c r="AC355" s="116">
        <f>IF(AQ355="1",BI355,0)</f>
      </c>
      <c r="AD355" s="116">
        <f>IF(AQ355="7",BH355,0)</f>
      </c>
      <c r="AE355" s="116">
        <f>IF(AQ355="7",BI355,0)</f>
      </c>
      <c r="AF355" s="116">
        <f>IF(AQ355="2",BH355,0)</f>
      </c>
      <c r="AG355" s="116">
        <f>IF(AQ355="2",BI355,0)</f>
      </c>
      <c r="AH355" s="116">
        <f>IF(AQ355="0",BJ355,0)</f>
      </c>
      <c r="AI355" s="131" t="s">
        <v>103</v>
      </c>
      <c r="AJ355" s="161">
        <f>IF(AN355=0,J355,0)</f>
      </c>
      <c r="AK355" s="161">
        <f>IF(AN355=12,J355,0)</f>
      </c>
      <c r="AL355" s="161">
        <f>IF(AN355=21,J355,0)</f>
      </c>
      <c r="AN355" s="116" t="n">
        <v>21</v>
      </c>
      <c r="AO355" s="116">
        <f>G355*1</f>
      </c>
      <c r="AP355" s="116">
        <f>G355*(1-1)</f>
      </c>
      <c r="AQ355" s="163" t="s">
        <v>664</v>
      </c>
      <c r="AV355" s="116">
        <f>AW355+AX355</f>
      </c>
      <c r="AW355" s="116">
        <f>F355*AO355</f>
      </c>
      <c r="AX355" s="116">
        <f>F355*AP355</f>
      </c>
      <c r="AY355" s="150" t="s">
        <v>665</v>
      </c>
      <c r="AZ355" s="150" t="s">
        <v>666</v>
      </c>
      <c r="BA355" s="131" t="s">
        <v>288</v>
      </c>
      <c r="BC355" s="116">
        <f>AW355+AX355</f>
      </c>
      <c r="BD355" s="116">
        <f>G355/(100-BE355)*100</f>
      </c>
      <c r="BE355" s="116" t="n">
        <v>0</v>
      </c>
      <c r="BF355" s="116">
        <f>355</f>
      </c>
      <c r="BH355" s="161">
        <f>F355*AO355</f>
      </c>
      <c r="BI355" s="161">
        <f>F355*AP355</f>
      </c>
      <c r="BJ355" s="161">
        <f>F355*G355</f>
      </c>
      <c r="BK355" s="161"/>
      <c r="BL355" s="116"/>
      <c r="BW355" s="116" t="n">
        <v>21</v>
      </c>
      <c r="BX355" s="160" t="s">
        <v>705</v>
      </c>
    </row>
    <row r="356">
      <c r="A356" s="151"/>
      <c r="C356" s="152" t="s">
        <v>310</v>
      </c>
      <c r="D356" s="152" t="s">
        <v>4</v>
      </c>
      <c r="F356" s="153" t="n">
        <v>24</v>
      </c>
      <c r="K356" s="154"/>
    </row>
    <row r="357" ht="24.75">
      <c r="A357" s="151"/>
      <c r="B357" s="157" t="s">
        <v>177</v>
      </c>
      <c r="C357" s="155" t="s">
        <v>706</v>
      </c>
      <c r="D357" s="152"/>
      <c r="E357" s="152"/>
      <c r="F357" s="152"/>
      <c r="G357" s="152"/>
      <c r="H357" s="152"/>
      <c r="I357" s="152"/>
      <c r="J357" s="152"/>
      <c r="K357" s="156"/>
      <c r="BX357" s="164" t="s">
        <v>706</v>
      </c>
    </row>
    <row r="358">
      <c r="A358" s="158" t="s">
        <v>707</v>
      </c>
      <c r="B358" s="159" t="s">
        <v>708</v>
      </c>
      <c r="C358" s="160" t="s">
        <v>709</v>
      </c>
      <c r="D358" s="159"/>
      <c r="E358" s="159" t="s">
        <v>463</v>
      </c>
      <c r="F358" s="161" t="n">
        <v>24</v>
      </c>
      <c r="G358" s="161" t="n">
        <v>0</v>
      </c>
      <c r="H358" s="161">
        <f>F358*AO358</f>
      </c>
      <c r="I358" s="161">
        <f>F358*AP358</f>
      </c>
      <c r="J358" s="161">
        <f>F358*G358</f>
      </c>
      <c r="K358" s="162" t="s">
        <v>159</v>
      </c>
      <c r="Z358" s="116">
        <f>IF(AQ358="5",BJ358,0)</f>
      </c>
      <c r="AB358" s="116">
        <f>IF(AQ358="1",BH358,0)</f>
      </c>
      <c r="AC358" s="116">
        <f>IF(AQ358="1",BI358,0)</f>
      </c>
      <c r="AD358" s="116">
        <f>IF(AQ358="7",BH358,0)</f>
      </c>
      <c r="AE358" s="116">
        <f>IF(AQ358="7",BI358,0)</f>
      </c>
      <c r="AF358" s="116">
        <f>IF(AQ358="2",BH358,0)</f>
      </c>
      <c r="AG358" s="116">
        <f>IF(AQ358="2",BI358,0)</f>
      </c>
      <c r="AH358" s="116">
        <f>IF(AQ358="0",BJ358,0)</f>
      </c>
      <c r="AI358" s="131" t="s">
        <v>103</v>
      </c>
      <c r="AJ358" s="161">
        <f>IF(AN358=0,J358,0)</f>
      </c>
      <c r="AK358" s="161">
        <f>IF(AN358=12,J358,0)</f>
      </c>
      <c r="AL358" s="161">
        <f>IF(AN358=21,J358,0)</f>
      </c>
      <c r="AN358" s="116" t="n">
        <v>21</v>
      </c>
      <c r="AO358" s="116">
        <f>G358*1</f>
      </c>
      <c r="AP358" s="116">
        <f>G358*(1-1)</f>
      </c>
      <c r="AQ358" s="163" t="s">
        <v>664</v>
      </c>
      <c r="AV358" s="116">
        <f>AW358+AX358</f>
      </c>
      <c r="AW358" s="116">
        <f>F358*AO358</f>
      </c>
      <c r="AX358" s="116">
        <f>F358*AP358</f>
      </c>
      <c r="AY358" s="150" t="s">
        <v>665</v>
      </c>
      <c r="AZ358" s="150" t="s">
        <v>666</v>
      </c>
      <c r="BA358" s="131" t="s">
        <v>288</v>
      </c>
      <c r="BC358" s="116">
        <f>AW358+AX358</f>
      </c>
      <c r="BD358" s="116">
        <f>G358/(100-BE358)*100</f>
      </c>
      <c r="BE358" s="116" t="n">
        <v>0</v>
      </c>
      <c r="BF358" s="116">
        <f>358</f>
      </c>
      <c r="BH358" s="161">
        <f>F358*AO358</f>
      </c>
      <c r="BI358" s="161">
        <f>F358*AP358</f>
      </c>
      <c r="BJ358" s="161">
        <f>F358*G358</f>
      </c>
      <c r="BK358" s="161"/>
      <c r="BL358" s="116"/>
      <c r="BW358" s="116" t="n">
        <v>21</v>
      </c>
      <c r="BX358" s="160" t="s">
        <v>709</v>
      </c>
    </row>
    <row r="359">
      <c r="A359" s="151"/>
      <c r="C359" s="152" t="s">
        <v>310</v>
      </c>
      <c r="D359" s="152" t="s">
        <v>4</v>
      </c>
      <c r="F359" s="153" t="n">
        <v>24</v>
      </c>
      <c r="K359" s="154"/>
    </row>
    <row r="360" ht="24.75">
      <c r="A360" s="151"/>
      <c r="B360" s="157" t="s">
        <v>177</v>
      </c>
      <c r="C360" s="155" t="s">
        <v>710</v>
      </c>
      <c r="D360" s="152"/>
      <c r="E360" s="152"/>
      <c r="F360" s="152"/>
      <c r="G360" s="152"/>
      <c r="H360" s="152"/>
      <c r="I360" s="152"/>
      <c r="J360" s="152"/>
      <c r="K360" s="156"/>
      <c r="BX360" s="164" t="s">
        <v>710</v>
      </c>
    </row>
    <row r="361">
      <c r="A361" s="158" t="s">
        <v>711</v>
      </c>
      <c r="B361" s="159" t="s">
        <v>712</v>
      </c>
      <c r="C361" s="160" t="s">
        <v>713</v>
      </c>
      <c r="D361" s="159"/>
      <c r="E361" s="159" t="s">
        <v>463</v>
      </c>
      <c r="F361" s="161" t="n">
        <v>1</v>
      </c>
      <c r="G361" s="161" t="n">
        <v>0</v>
      </c>
      <c r="H361" s="161">
        <f>F361*AO361</f>
      </c>
      <c r="I361" s="161">
        <f>F361*AP361</f>
      </c>
      <c r="J361" s="161">
        <f>F361*G361</f>
      </c>
      <c r="K361" s="162" t="s">
        <v>202</v>
      </c>
      <c r="Z361" s="116">
        <f>IF(AQ361="5",BJ361,0)</f>
      </c>
      <c r="AB361" s="116">
        <f>IF(AQ361="1",BH361,0)</f>
      </c>
      <c r="AC361" s="116">
        <f>IF(AQ361="1",BI361,0)</f>
      </c>
      <c r="AD361" s="116">
        <f>IF(AQ361="7",BH361,0)</f>
      </c>
      <c r="AE361" s="116">
        <f>IF(AQ361="7",BI361,0)</f>
      </c>
      <c r="AF361" s="116">
        <f>IF(AQ361="2",BH361,0)</f>
      </c>
      <c r="AG361" s="116">
        <f>IF(AQ361="2",BI361,0)</f>
      </c>
      <c r="AH361" s="116">
        <f>IF(AQ361="0",BJ361,0)</f>
      </c>
      <c r="AI361" s="131" t="s">
        <v>103</v>
      </c>
      <c r="AJ361" s="161">
        <f>IF(AN361=0,J361,0)</f>
      </c>
      <c r="AK361" s="161">
        <f>IF(AN361=12,J361,0)</f>
      </c>
      <c r="AL361" s="161">
        <f>IF(AN361=21,J361,0)</f>
      </c>
      <c r="AN361" s="116" t="n">
        <v>21</v>
      </c>
      <c r="AO361" s="116">
        <f>G361*1</f>
      </c>
      <c r="AP361" s="116">
        <f>G361*(1-1)</f>
      </c>
      <c r="AQ361" s="163" t="s">
        <v>664</v>
      </c>
      <c r="AV361" s="116">
        <f>AW361+AX361</f>
      </c>
      <c r="AW361" s="116">
        <f>F361*AO361</f>
      </c>
      <c r="AX361" s="116">
        <f>F361*AP361</f>
      </c>
      <c r="AY361" s="150" t="s">
        <v>665</v>
      </c>
      <c r="AZ361" s="150" t="s">
        <v>666</v>
      </c>
      <c r="BA361" s="131" t="s">
        <v>288</v>
      </c>
      <c r="BC361" s="116">
        <f>AW361+AX361</f>
      </c>
      <c r="BD361" s="116">
        <f>G361/(100-BE361)*100</f>
      </c>
      <c r="BE361" s="116" t="n">
        <v>0</v>
      </c>
      <c r="BF361" s="116">
        <f>361</f>
      </c>
      <c r="BH361" s="161">
        <f>F361*AO361</f>
      </c>
      <c r="BI361" s="161">
        <f>F361*AP361</f>
      </c>
      <c r="BJ361" s="161">
        <f>F361*G361</f>
      </c>
      <c r="BK361" s="161"/>
      <c r="BL361" s="116"/>
      <c r="BW361" s="116" t="n">
        <v>21</v>
      </c>
      <c r="BX361" s="160" t="s">
        <v>713</v>
      </c>
    </row>
    <row r="362">
      <c r="A362" s="151"/>
      <c r="C362" s="152" t="s">
        <v>88</v>
      </c>
      <c r="D362" s="152" t="s">
        <v>542</v>
      </c>
      <c r="F362" s="153" t="n">
        <v>1</v>
      </c>
      <c r="K362" s="154"/>
    </row>
    <row r="363" ht="156.75">
      <c r="A363" s="151"/>
      <c r="B363" s="157" t="s">
        <v>177</v>
      </c>
      <c r="C363" s="155" t="s">
        <v>714</v>
      </c>
      <c r="D363" s="152"/>
      <c r="E363" s="152"/>
      <c r="F363" s="152"/>
      <c r="G363" s="152"/>
      <c r="H363" s="152"/>
      <c r="I363" s="152"/>
      <c r="J363" s="152"/>
      <c r="K363" s="156"/>
      <c r="BX363" s="164" t="s">
        <v>714</v>
      </c>
    </row>
    <row r="364">
      <c r="A364" s="158" t="s">
        <v>715</v>
      </c>
      <c r="B364" s="159" t="s">
        <v>716</v>
      </c>
      <c r="C364" s="160" t="s">
        <v>717</v>
      </c>
      <c r="D364" s="159"/>
      <c r="E364" s="159" t="s">
        <v>463</v>
      </c>
      <c r="F364" s="161" t="n">
        <v>1</v>
      </c>
      <c r="G364" s="161" t="n">
        <v>0</v>
      </c>
      <c r="H364" s="161">
        <f>F364*AO364</f>
      </c>
      <c r="I364" s="161">
        <f>F364*AP364</f>
      </c>
      <c r="J364" s="161">
        <f>F364*G364</f>
      </c>
      <c r="K364" s="162" t="s">
        <v>159</v>
      </c>
      <c r="Z364" s="116">
        <f>IF(AQ364="5",BJ364,0)</f>
      </c>
      <c r="AB364" s="116">
        <f>IF(AQ364="1",BH364,0)</f>
      </c>
      <c r="AC364" s="116">
        <f>IF(AQ364="1",BI364,0)</f>
      </c>
      <c r="AD364" s="116">
        <f>IF(AQ364="7",BH364,0)</f>
      </c>
      <c r="AE364" s="116">
        <f>IF(AQ364="7",BI364,0)</f>
      </c>
      <c r="AF364" s="116">
        <f>IF(AQ364="2",BH364,0)</f>
      </c>
      <c r="AG364" s="116">
        <f>IF(AQ364="2",BI364,0)</f>
      </c>
      <c r="AH364" s="116">
        <f>IF(AQ364="0",BJ364,0)</f>
      </c>
      <c r="AI364" s="131" t="s">
        <v>103</v>
      </c>
      <c r="AJ364" s="161">
        <f>IF(AN364=0,J364,0)</f>
      </c>
      <c r="AK364" s="161">
        <f>IF(AN364=12,J364,0)</f>
      </c>
      <c r="AL364" s="161">
        <f>IF(AN364=21,J364,0)</f>
      </c>
      <c r="AN364" s="116" t="n">
        <v>21</v>
      </c>
      <c r="AO364" s="116">
        <f>G364*1</f>
      </c>
      <c r="AP364" s="116">
        <f>G364*(1-1)</f>
      </c>
      <c r="AQ364" s="163" t="s">
        <v>664</v>
      </c>
      <c r="AV364" s="116">
        <f>AW364+AX364</f>
      </c>
      <c r="AW364" s="116">
        <f>F364*AO364</f>
      </c>
      <c r="AX364" s="116">
        <f>F364*AP364</f>
      </c>
      <c r="AY364" s="150" t="s">
        <v>665</v>
      </c>
      <c r="AZ364" s="150" t="s">
        <v>666</v>
      </c>
      <c r="BA364" s="131" t="s">
        <v>288</v>
      </c>
      <c r="BC364" s="116">
        <f>AW364+AX364</f>
      </c>
      <c r="BD364" s="116">
        <f>G364/(100-BE364)*100</f>
      </c>
      <c r="BE364" s="116" t="n">
        <v>0</v>
      </c>
      <c r="BF364" s="116">
        <f>364</f>
      </c>
      <c r="BH364" s="161">
        <f>F364*AO364</f>
      </c>
      <c r="BI364" s="161">
        <f>F364*AP364</f>
      </c>
      <c r="BJ364" s="161">
        <f>F364*G364</f>
      </c>
      <c r="BK364" s="161"/>
      <c r="BL364" s="116"/>
      <c r="BW364" s="116" t="n">
        <v>21</v>
      </c>
      <c r="BX364" s="160" t="s">
        <v>717</v>
      </c>
    </row>
    <row r="365">
      <c r="A365" s="151"/>
      <c r="C365" s="152" t="s">
        <v>88</v>
      </c>
      <c r="D365" s="152" t="s">
        <v>542</v>
      </c>
      <c r="F365" s="153" t="n">
        <v>1</v>
      </c>
      <c r="K365" s="154"/>
    </row>
    <row r="366" ht="96.75">
      <c r="A366" s="151"/>
      <c r="B366" s="157" t="s">
        <v>177</v>
      </c>
      <c r="C366" s="155" t="s">
        <v>718</v>
      </c>
      <c r="D366" s="152"/>
      <c r="E366" s="152"/>
      <c r="F366" s="152"/>
      <c r="G366" s="152"/>
      <c r="H366" s="152"/>
      <c r="I366" s="152"/>
      <c r="J366" s="152"/>
      <c r="K366" s="156"/>
      <c r="BX366" s="164" t="s">
        <v>718</v>
      </c>
    </row>
    <row r="367">
      <c r="A367" s="158" t="s">
        <v>565</v>
      </c>
      <c r="B367" s="159" t="s">
        <v>719</v>
      </c>
      <c r="C367" s="160" t="s">
        <v>720</v>
      </c>
      <c r="D367" s="159"/>
      <c r="E367" s="159" t="s">
        <v>463</v>
      </c>
      <c r="F367" s="161" t="n">
        <v>1</v>
      </c>
      <c r="G367" s="161" t="n">
        <v>0</v>
      </c>
      <c r="H367" s="161">
        <f>F367*AO367</f>
      </c>
      <c r="I367" s="161">
        <f>F367*AP367</f>
      </c>
      <c r="J367" s="161">
        <f>F367*G367</f>
      </c>
      <c r="K367" s="162" t="s">
        <v>159</v>
      </c>
      <c r="Z367" s="116">
        <f>IF(AQ367="5",BJ367,0)</f>
      </c>
      <c r="AB367" s="116">
        <f>IF(AQ367="1",BH367,0)</f>
      </c>
      <c r="AC367" s="116">
        <f>IF(AQ367="1",BI367,0)</f>
      </c>
      <c r="AD367" s="116">
        <f>IF(AQ367="7",BH367,0)</f>
      </c>
      <c r="AE367" s="116">
        <f>IF(AQ367="7",BI367,0)</f>
      </c>
      <c r="AF367" s="116">
        <f>IF(AQ367="2",BH367,0)</f>
      </c>
      <c r="AG367" s="116">
        <f>IF(AQ367="2",BI367,0)</f>
      </c>
      <c r="AH367" s="116">
        <f>IF(AQ367="0",BJ367,0)</f>
      </c>
      <c r="AI367" s="131" t="s">
        <v>103</v>
      </c>
      <c r="AJ367" s="161">
        <f>IF(AN367=0,J367,0)</f>
      </c>
      <c r="AK367" s="161">
        <f>IF(AN367=12,J367,0)</f>
      </c>
      <c r="AL367" s="161">
        <f>IF(AN367=21,J367,0)</f>
      </c>
      <c r="AN367" s="116" t="n">
        <v>21</v>
      </c>
      <c r="AO367" s="116">
        <f>G367*1</f>
      </c>
      <c r="AP367" s="116">
        <f>G367*(1-1)</f>
      </c>
      <c r="AQ367" s="163" t="s">
        <v>664</v>
      </c>
      <c r="AV367" s="116">
        <f>AW367+AX367</f>
      </c>
      <c r="AW367" s="116">
        <f>F367*AO367</f>
      </c>
      <c r="AX367" s="116">
        <f>F367*AP367</f>
      </c>
      <c r="AY367" s="150" t="s">
        <v>665</v>
      </c>
      <c r="AZ367" s="150" t="s">
        <v>666</v>
      </c>
      <c r="BA367" s="131" t="s">
        <v>288</v>
      </c>
      <c r="BC367" s="116">
        <f>AW367+AX367</f>
      </c>
      <c r="BD367" s="116">
        <f>G367/(100-BE367)*100</f>
      </c>
      <c r="BE367" s="116" t="n">
        <v>0</v>
      </c>
      <c r="BF367" s="116">
        <f>367</f>
      </c>
      <c r="BH367" s="161">
        <f>F367*AO367</f>
      </c>
      <c r="BI367" s="161">
        <f>F367*AP367</f>
      </c>
      <c r="BJ367" s="161">
        <f>F367*G367</f>
      </c>
      <c r="BK367" s="161"/>
      <c r="BL367" s="116"/>
      <c r="BW367" s="116" t="n">
        <v>21</v>
      </c>
      <c r="BX367" s="160" t="s">
        <v>720</v>
      </c>
    </row>
    <row r="368">
      <c r="A368" s="151"/>
      <c r="C368" s="152" t="s">
        <v>88</v>
      </c>
      <c r="D368" s="152" t="s">
        <v>542</v>
      </c>
      <c r="F368" s="153" t="n">
        <v>1</v>
      </c>
      <c r="K368" s="154"/>
    </row>
    <row r="369">
      <c r="A369" s="151"/>
      <c r="B369" s="157" t="s">
        <v>177</v>
      </c>
      <c r="C369" s="155" t="s">
        <v>721</v>
      </c>
      <c r="D369" s="152"/>
      <c r="E369" s="152"/>
      <c r="F369" s="152"/>
      <c r="G369" s="152"/>
      <c r="H369" s="152"/>
      <c r="I369" s="152"/>
      <c r="J369" s="152"/>
      <c r="K369" s="156"/>
      <c r="BX369" s="164" t="s">
        <v>721</v>
      </c>
    </row>
    <row r="370">
      <c r="A370" s="158" t="s">
        <v>722</v>
      </c>
      <c r="B370" s="159" t="s">
        <v>723</v>
      </c>
      <c r="C370" s="160" t="s">
        <v>724</v>
      </c>
      <c r="D370" s="159"/>
      <c r="E370" s="159" t="s">
        <v>463</v>
      </c>
      <c r="F370" s="161" t="n">
        <v>1</v>
      </c>
      <c r="G370" s="161" t="n">
        <v>0</v>
      </c>
      <c r="H370" s="161">
        <f>F370*AO370</f>
      </c>
      <c r="I370" s="161">
        <f>F370*AP370</f>
      </c>
      <c r="J370" s="161">
        <f>F370*G370</f>
      </c>
      <c r="K370" s="162" t="s">
        <v>159</v>
      </c>
      <c r="Z370" s="116">
        <f>IF(AQ370="5",BJ370,0)</f>
      </c>
      <c r="AB370" s="116">
        <f>IF(AQ370="1",BH370,0)</f>
      </c>
      <c r="AC370" s="116">
        <f>IF(AQ370="1",BI370,0)</f>
      </c>
      <c r="AD370" s="116">
        <f>IF(AQ370="7",BH370,0)</f>
      </c>
      <c r="AE370" s="116">
        <f>IF(AQ370="7",BI370,0)</f>
      </c>
      <c r="AF370" s="116">
        <f>IF(AQ370="2",BH370,0)</f>
      </c>
      <c r="AG370" s="116">
        <f>IF(AQ370="2",BI370,0)</f>
      </c>
      <c r="AH370" s="116">
        <f>IF(AQ370="0",BJ370,0)</f>
      </c>
      <c r="AI370" s="131" t="s">
        <v>103</v>
      </c>
      <c r="AJ370" s="161">
        <f>IF(AN370=0,J370,0)</f>
      </c>
      <c r="AK370" s="161">
        <f>IF(AN370=12,J370,0)</f>
      </c>
      <c r="AL370" s="161">
        <f>IF(AN370=21,J370,0)</f>
      </c>
      <c r="AN370" s="116" t="n">
        <v>21</v>
      </c>
      <c r="AO370" s="116">
        <f>G370*1</f>
      </c>
      <c r="AP370" s="116">
        <f>G370*(1-1)</f>
      </c>
      <c r="AQ370" s="163" t="s">
        <v>664</v>
      </c>
      <c r="AV370" s="116">
        <f>AW370+AX370</f>
      </c>
      <c r="AW370" s="116">
        <f>F370*AO370</f>
      </c>
      <c r="AX370" s="116">
        <f>F370*AP370</f>
      </c>
      <c r="AY370" s="150" t="s">
        <v>665</v>
      </c>
      <c r="AZ370" s="150" t="s">
        <v>666</v>
      </c>
      <c r="BA370" s="131" t="s">
        <v>288</v>
      </c>
      <c r="BC370" s="116">
        <f>AW370+AX370</f>
      </c>
      <c r="BD370" s="116">
        <f>G370/(100-BE370)*100</f>
      </c>
      <c r="BE370" s="116" t="n">
        <v>0</v>
      </c>
      <c r="BF370" s="116">
        <f>370</f>
      </c>
      <c r="BH370" s="161">
        <f>F370*AO370</f>
      </c>
      <c r="BI370" s="161">
        <f>F370*AP370</f>
      </c>
      <c r="BJ370" s="161">
        <f>F370*G370</f>
      </c>
      <c r="BK370" s="161"/>
      <c r="BL370" s="116"/>
      <c r="BW370" s="116" t="n">
        <v>21</v>
      </c>
      <c r="BX370" s="160" t="s">
        <v>724</v>
      </c>
    </row>
    <row r="371">
      <c r="A371" s="151"/>
      <c r="C371" s="152" t="s">
        <v>88</v>
      </c>
      <c r="D371" s="152" t="s">
        <v>4</v>
      </c>
      <c r="F371" s="153" t="n">
        <v>1</v>
      </c>
      <c r="K371" s="154"/>
    </row>
    <row r="372" ht="24.75">
      <c r="A372" s="151"/>
      <c r="B372" s="157" t="s">
        <v>177</v>
      </c>
      <c r="C372" s="155" t="s">
        <v>725</v>
      </c>
      <c r="D372" s="152"/>
      <c r="E372" s="152"/>
      <c r="F372" s="152"/>
      <c r="G372" s="152"/>
      <c r="H372" s="152"/>
      <c r="I372" s="152"/>
      <c r="J372" s="152"/>
      <c r="K372" s="156"/>
      <c r="BX372" s="164" t="s">
        <v>725</v>
      </c>
    </row>
    <row r="373">
      <c r="A373" s="158" t="s">
        <v>589</v>
      </c>
      <c r="B373" s="159" t="s">
        <v>726</v>
      </c>
      <c r="C373" s="160" t="s">
        <v>727</v>
      </c>
      <c r="D373" s="159"/>
      <c r="E373" s="159" t="s">
        <v>463</v>
      </c>
      <c r="F373" s="161" t="n">
        <v>3</v>
      </c>
      <c r="G373" s="161" t="n">
        <v>0</v>
      </c>
      <c r="H373" s="161">
        <f>F373*AO373</f>
      </c>
      <c r="I373" s="161">
        <f>F373*AP373</f>
      </c>
      <c r="J373" s="161">
        <f>F373*G373</f>
      </c>
      <c r="K373" s="162" t="s">
        <v>159</v>
      </c>
      <c r="Z373" s="116">
        <f>IF(AQ373="5",BJ373,0)</f>
      </c>
      <c r="AB373" s="116">
        <f>IF(AQ373="1",BH373,0)</f>
      </c>
      <c r="AC373" s="116">
        <f>IF(AQ373="1",BI373,0)</f>
      </c>
      <c r="AD373" s="116">
        <f>IF(AQ373="7",BH373,0)</f>
      </c>
      <c r="AE373" s="116">
        <f>IF(AQ373="7",BI373,0)</f>
      </c>
      <c r="AF373" s="116">
        <f>IF(AQ373="2",BH373,0)</f>
      </c>
      <c r="AG373" s="116">
        <f>IF(AQ373="2",BI373,0)</f>
      </c>
      <c r="AH373" s="116">
        <f>IF(AQ373="0",BJ373,0)</f>
      </c>
      <c r="AI373" s="131" t="s">
        <v>103</v>
      </c>
      <c r="AJ373" s="161">
        <f>IF(AN373=0,J373,0)</f>
      </c>
      <c r="AK373" s="161">
        <f>IF(AN373=12,J373,0)</f>
      </c>
      <c r="AL373" s="161">
        <f>IF(AN373=21,J373,0)</f>
      </c>
      <c r="AN373" s="116" t="n">
        <v>21</v>
      </c>
      <c r="AO373" s="116">
        <f>G373*1</f>
      </c>
      <c r="AP373" s="116">
        <f>G373*(1-1)</f>
      </c>
      <c r="AQ373" s="163" t="s">
        <v>664</v>
      </c>
      <c r="AV373" s="116">
        <f>AW373+AX373</f>
      </c>
      <c r="AW373" s="116">
        <f>F373*AO373</f>
      </c>
      <c r="AX373" s="116">
        <f>F373*AP373</f>
      </c>
      <c r="AY373" s="150" t="s">
        <v>665</v>
      </c>
      <c r="AZ373" s="150" t="s">
        <v>666</v>
      </c>
      <c r="BA373" s="131" t="s">
        <v>288</v>
      </c>
      <c r="BC373" s="116">
        <f>AW373+AX373</f>
      </c>
      <c r="BD373" s="116">
        <f>G373/(100-BE373)*100</f>
      </c>
      <c r="BE373" s="116" t="n">
        <v>0</v>
      </c>
      <c r="BF373" s="116">
        <f>373</f>
      </c>
      <c r="BH373" s="161">
        <f>F373*AO373</f>
      </c>
      <c r="BI373" s="161">
        <f>F373*AP373</f>
      </c>
      <c r="BJ373" s="161">
        <f>F373*G373</f>
      </c>
      <c r="BK373" s="161"/>
      <c r="BL373" s="116"/>
      <c r="BW373" s="116" t="n">
        <v>21</v>
      </c>
      <c r="BX373" s="160" t="s">
        <v>727</v>
      </c>
    </row>
    <row r="374">
      <c r="A374" s="151"/>
      <c r="C374" s="152" t="s">
        <v>495</v>
      </c>
      <c r="D374" s="152" t="s">
        <v>496</v>
      </c>
      <c r="F374" s="153" t="n">
        <v>3</v>
      </c>
      <c r="K374" s="154"/>
    </row>
    <row r="375">
      <c r="A375" s="158" t="s">
        <v>728</v>
      </c>
      <c r="B375" s="159" t="s">
        <v>729</v>
      </c>
      <c r="C375" s="160" t="s">
        <v>730</v>
      </c>
      <c r="D375" s="159"/>
      <c r="E375" s="159" t="s">
        <v>463</v>
      </c>
      <c r="F375" s="161" t="n">
        <v>3</v>
      </c>
      <c r="G375" s="161" t="n">
        <v>0</v>
      </c>
      <c r="H375" s="161">
        <f>F375*AO375</f>
      </c>
      <c r="I375" s="161">
        <f>F375*AP375</f>
      </c>
      <c r="J375" s="161">
        <f>F375*G375</f>
      </c>
      <c r="K375" s="162" t="s">
        <v>159</v>
      </c>
      <c r="Z375" s="116">
        <f>IF(AQ375="5",BJ375,0)</f>
      </c>
      <c r="AB375" s="116">
        <f>IF(AQ375="1",BH375,0)</f>
      </c>
      <c r="AC375" s="116">
        <f>IF(AQ375="1",BI375,0)</f>
      </c>
      <c r="AD375" s="116">
        <f>IF(AQ375="7",BH375,0)</f>
      </c>
      <c r="AE375" s="116">
        <f>IF(AQ375="7",BI375,0)</f>
      </c>
      <c r="AF375" s="116">
        <f>IF(AQ375="2",BH375,0)</f>
      </c>
      <c r="AG375" s="116">
        <f>IF(AQ375="2",BI375,0)</f>
      </c>
      <c r="AH375" s="116">
        <f>IF(AQ375="0",BJ375,0)</f>
      </c>
      <c r="AI375" s="131" t="s">
        <v>103</v>
      </c>
      <c r="AJ375" s="161">
        <f>IF(AN375=0,J375,0)</f>
      </c>
      <c r="AK375" s="161">
        <f>IF(AN375=12,J375,0)</f>
      </c>
      <c r="AL375" s="161">
        <f>IF(AN375=21,J375,0)</f>
      </c>
      <c r="AN375" s="116" t="n">
        <v>21</v>
      </c>
      <c r="AO375" s="116">
        <f>G375*1</f>
      </c>
      <c r="AP375" s="116">
        <f>G375*(1-1)</f>
      </c>
      <c r="AQ375" s="163" t="s">
        <v>664</v>
      </c>
      <c r="AV375" s="116">
        <f>AW375+AX375</f>
      </c>
      <c r="AW375" s="116">
        <f>F375*AO375</f>
      </c>
      <c r="AX375" s="116">
        <f>F375*AP375</f>
      </c>
      <c r="AY375" s="150" t="s">
        <v>665</v>
      </c>
      <c r="AZ375" s="150" t="s">
        <v>666</v>
      </c>
      <c r="BA375" s="131" t="s">
        <v>288</v>
      </c>
      <c r="BC375" s="116">
        <f>AW375+AX375</f>
      </c>
      <c r="BD375" s="116">
        <f>G375/(100-BE375)*100</f>
      </c>
      <c r="BE375" s="116" t="n">
        <v>0</v>
      </c>
      <c r="BF375" s="116">
        <f>375</f>
      </c>
      <c r="BH375" s="161">
        <f>F375*AO375</f>
      </c>
      <c r="BI375" s="161">
        <f>F375*AP375</f>
      </c>
      <c r="BJ375" s="161">
        <f>F375*G375</f>
      </c>
      <c r="BK375" s="161"/>
      <c r="BL375" s="116"/>
      <c r="BW375" s="116" t="n">
        <v>21</v>
      </c>
      <c r="BX375" s="160" t="s">
        <v>730</v>
      </c>
    </row>
    <row r="376">
      <c r="A376" s="151"/>
      <c r="C376" s="152" t="s">
        <v>495</v>
      </c>
      <c r="D376" s="152" t="s">
        <v>496</v>
      </c>
      <c r="F376" s="153" t="n">
        <v>3</v>
      </c>
      <c r="K376" s="154"/>
    </row>
    <row r="377">
      <c r="A377" s="151"/>
      <c r="B377" s="157" t="s">
        <v>177</v>
      </c>
      <c r="C377" s="155" t="s">
        <v>731</v>
      </c>
      <c r="D377" s="152"/>
      <c r="E377" s="152"/>
      <c r="F377" s="152"/>
      <c r="G377" s="152"/>
      <c r="H377" s="152"/>
      <c r="I377" s="152"/>
      <c r="J377" s="152"/>
      <c r="K377" s="156"/>
      <c r="BX377" s="164" t="s">
        <v>731</v>
      </c>
    </row>
    <row r="378">
      <c r="A378" s="158" t="s">
        <v>732</v>
      </c>
      <c r="B378" s="159" t="s">
        <v>733</v>
      </c>
      <c r="C378" s="160" t="s">
        <v>734</v>
      </c>
      <c r="D378" s="159"/>
      <c r="E378" s="159" t="s">
        <v>158</v>
      </c>
      <c r="F378" s="161" t="n">
        <v>1154</v>
      </c>
      <c r="G378" s="161" t="n">
        <v>0</v>
      </c>
      <c r="H378" s="161">
        <f>F378*AO378</f>
      </c>
      <c r="I378" s="161">
        <f>F378*AP378</f>
      </c>
      <c r="J378" s="161">
        <f>F378*G378</f>
      </c>
      <c r="K378" s="162" t="s">
        <v>159</v>
      </c>
      <c r="Z378" s="116">
        <f>IF(AQ378="5",BJ378,0)</f>
      </c>
      <c r="AB378" s="116">
        <f>IF(AQ378="1",BH378,0)</f>
      </c>
      <c r="AC378" s="116">
        <f>IF(AQ378="1",BI378,0)</f>
      </c>
      <c r="AD378" s="116">
        <f>IF(AQ378="7",BH378,0)</f>
      </c>
      <c r="AE378" s="116">
        <f>IF(AQ378="7",BI378,0)</f>
      </c>
      <c r="AF378" s="116">
        <f>IF(AQ378="2",BH378,0)</f>
      </c>
      <c r="AG378" s="116">
        <f>IF(AQ378="2",BI378,0)</f>
      </c>
      <c r="AH378" s="116">
        <f>IF(AQ378="0",BJ378,0)</f>
      </c>
      <c r="AI378" s="131" t="s">
        <v>103</v>
      </c>
      <c r="AJ378" s="161">
        <f>IF(AN378=0,J378,0)</f>
      </c>
      <c r="AK378" s="161">
        <f>IF(AN378=12,J378,0)</f>
      </c>
      <c r="AL378" s="161">
        <f>IF(AN378=21,J378,0)</f>
      </c>
      <c r="AN378" s="116" t="n">
        <v>21</v>
      </c>
      <c r="AO378" s="116">
        <f>G378*1</f>
      </c>
      <c r="AP378" s="116">
        <f>G378*(1-1)</f>
      </c>
      <c r="AQ378" s="163" t="s">
        <v>664</v>
      </c>
      <c r="AV378" s="116">
        <f>AW378+AX378</f>
      </c>
      <c r="AW378" s="116">
        <f>F378*AO378</f>
      </c>
      <c r="AX378" s="116">
        <f>F378*AP378</f>
      </c>
      <c r="AY378" s="150" t="s">
        <v>665</v>
      </c>
      <c r="AZ378" s="150" t="s">
        <v>666</v>
      </c>
      <c r="BA378" s="131" t="s">
        <v>288</v>
      </c>
      <c r="BC378" s="116">
        <f>AW378+AX378</f>
      </c>
      <c r="BD378" s="116">
        <f>G378/(100-BE378)*100</f>
      </c>
      <c r="BE378" s="116" t="n">
        <v>0</v>
      </c>
      <c r="BF378" s="116">
        <f>378</f>
      </c>
      <c r="BH378" s="161">
        <f>F378*AO378</f>
      </c>
      <c r="BI378" s="161">
        <f>F378*AP378</f>
      </c>
      <c r="BJ378" s="161">
        <f>F378*G378</f>
      </c>
      <c r="BK378" s="161"/>
      <c r="BL378" s="116"/>
      <c r="BW378" s="116" t="n">
        <v>21</v>
      </c>
      <c r="BX378" s="160" t="s">
        <v>734</v>
      </c>
    </row>
    <row r="379">
      <c r="A379" s="151"/>
      <c r="C379" s="152" t="s">
        <v>735</v>
      </c>
      <c r="D379" s="152" t="s">
        <v>4</v>
      </c>
      <c r="F379" s="153" t="n">
        <v>1154</v>
      </c>
      <c r="K379" s="154"/>
    </row>
    <row r="380" ht="48.75">
      <c r="A380" s="151"/>
      <c r="B380" s="157" t="s">
        <v>177</v>
      </c>
      <c r="C380" s="155" t="s">
        <v>736</v>
      </c>
      <c r="D380" s="152"/>
      <c r="E380" s="152"/>
      <c r="F380" s="152"/>
      <c r="G380" s="152"/>
      <c r="H380" s="152"/>
      <c r="I380" s="152"/>
      <c r="J380" s="152"/>
      <c r="K380" s="156"/>
      <c r="BX380" s="164" t="s">
        <v>736</v>
      </c>
    </row>
    <row r="381">
      <c r="A381" s="144" t="s">
        <v>4</v>
      </c>
      <c r="B381" s="145" t="s">
        <v>267</v>
      </c>
      <c r="C381" s="146" t="s">
        <v>57</v>
      </c>
      <c r="D381" s="145"/>
      <c r="E381" s="147" t="s">
        <v>79</v>
      </c>
      <c r="F381" s="147" t="s">
        <v>79</v>
      </c>
      <c r="G381" s="147" t="s">
        <v>79</v>
      </c>
      <c r="H381" s="123">
        <f>H382</f>
      </c>
      <c r="I381" s="123">
        <f>I382</f>
      </c>
      <c r="J381" s="123">
        <f>J382</f>
      </c>
      <c r="K381" s="148" t="s">
        <v>4</v>
      </c>
      <c r="AI381" s="131" t="s">
        <v>103</v>
      </c>
    </row>
    <row r="382">
      <c r="A382" s="144" t="s">
        <v>4</v>
      </c>
      <c r="B382" s="145" t="s">
        <v>268</v>
      </c>
      <c r="C382" s="146" t="s">
        <v>68</v>
      </c>
      <c r="D382" s="145"/>
      <c r="E382" s="147" t="s">
        <v>79</v>
      </c>
      <c r="F382" s="147" t="s">
        <v>79</v>
      </c>
      <c r="G382" s="147" t="s">
        <v>79</v>
      </c>
      <c r="H382" s="123">
        <f>SUM(H383:H386)</f>
      </c>
      <c r="I382" s="123">
        <f>SUM(I383:I386)</f>
      </c>
      <c r="J382" s="123">
        <f>SUM(J383:J386)</f>
      </c>
      <c r="K382" s="148" t="s">
        <v>4</v>
      </c>
      <c r="AI382" s="131" t="s">
        <v>103</v>
      </c>
      <c r="AS382" s="123">
        <f>SUM(AJ383:AJ386)</f>
      </c>
      <c r="AT382" s="123">
        <f>SUM(AK383:AK386)</f>
      </c>
      <c r="AU382" s="123">
        <f>SUM(AL383:AL386)</f>
      </c>
    </row>
    <row r="383">
      <c r="A383" s="9" t="s">
        <v>737</v>
      </c>
      <c r="B383" s="10" t="s">
        <v>738</v>
      </c>
      <c r="C383" s="14" t="s">
        <v>271</v>
      </c>
      <c r="D383" s="10"/>
      <c r="E383" s="10" t="s">
        <v>272</v>
      </c>
      <c r="F383" s="116" t="n">
        <v>1</v>
      </c>
      <c r="G383" s="116" t="n">
        <v>0</v>
      </c>
      <c r="H383" s="116">
        <f>F383*AO383</f>
      </c>
      <c r="I383" s="116">
        <f>F383*AP383</f>
      </c>
      <c r="J383" s="116">
        <f>F383*G383</f>
      </c>
      <c r="K383" s="149" t="s">
        <v>159</v>
      </c>
      <c r="Z383" s="116">
        <f>IF(AQ383="5",BJ383,0)</f>
      </c>
      <c r="AB383" s="116">
        <f>IF(AQ383="1",BH383,0)</f>
      </c>
      <c r="AC383" s="116">
        <f>IF(AQ383="1",BI383,0)</f>
      </c>
      <c r="AD383" s="116">
        <f>IF(AQ383="7",BH383,0)</f>
      </c>
      <c r="AE383" s="116">
        <f>IF(AQ383="7",BI383,0)</f>
      </c>
      <c r="AF383" s="116">
        <f>IF(AQ383="2",BH383,0)</f>
      </c>
      <c r="AG383" s="116">
        <f>IF(AQ383="2",BI383,0)</f>
      </c>
      <c r="AH383" s="116">
        <f>IF(AQ383="0",BJ383,0)</f>
      </c>
      <c r="AI383" s="131" t="s">
        <v>103</v>
      </c>
      <c r="AJ383" s="116">
        <f>IF(AN383=0,J383,0)</f>
      </c>
      <c r="AK383" s="116">
        <f>IF(AN383=12,J383,0)</f>
      </c>
      <c r="AL383" s="116">
        <f>IF(AN383=21,J383,0)</f>
      </c>
      <c r="AN383" s="116" t="n">
        <v>21</v>
      </c>
      <c r="AO383" s="116">
        <f>G383*0</f>
      </c>
      <c r="AP383" s="116">
        <f>G383*(1-0)</f>
      </c>
      <c r="AQ383" s="150" t="s">
        <v>273</v>
      </c>
      <c r="AV383" s="116">
        <f>AW383+AX383</f>
      </c>
      <c r="AW383" s="116">
        <f>F383*AO383</f>
      </c>
      <c r="AX383" s="116">
        <f>F383*AP383</f>
      </c>
      <c r="AY383" s="150" t="s">
        <v>274</v>
      </c>
      <c r="AZ383" s="150" t="s">
        <v>739</v>
      </c>
      <c r="BA383" s="131" t="s">
        <v>288</v>
      </c>
      <c r="BC383" s="116">
        <f>AW383+AX383</f>
      </c>
      <c r="BD383" s="116">
        <f>G383/(100-BE383)*100</f>
      </c>
      <c r="BE383" s="116" t="n">
        <v>0</v>
      </c>
      <c r="BF383" s="116">
        <f>383</f>
      </c>
      <c r="BH383" s="116">
        <f>F383*AO383</f>
      </c>
      <c r="BI383" s="116">
        <f>F383*AP383</f>
      </c>
      <c r="BJ383" s="116">
        <f>F383*G383</f>
      </c>
      <c r="BK383" s="116"/>
      <c r="BL383" s="116"/>
      <c r="BM383" s="116">
        <f>F383*G383</f>
      </c>
      <c r="BW383" s="116" t="n">
        <v>21</v>
      </c>
      <c r="BX383" s="14" t="s">
        <v>271</v>
      </c>
    </row>
    <row r="384" customHeight="true" ht="13.5">
      <c r="A384" s="151"/>
      <c r="C384" s="155" t="s">
        <v>740</v>
      </c>
      <c r="D384" s="152"/>
      <c r="E384" s="152"/>
      <c r="F384" s="152"/>
      <c r="G384" s="152"/>
      <c r="H384" s="152"/>
      <c r="I384" s="152"/>
      <c r="J384" s="152"/>
      <c r="K384" s="156"/>
    </row>
    <row r="385">
      <c r="A385" s="151"/>
      <c r="C385" s="152" t="s">
        <v>88</v>
      </c>
      <c r="D385" s="152" t="s">
        <v>4</v>
      </c>
      <c r="F385" s="153" t="n">
        <v>1</v>
      </c>
      <c r="K385" s="154"/>
    </row>
    <row r="386">
      <c r="A386" s="9" t="s">
        <v>741</v>
      </c>
      <c r="B386" s="10" t="s">
        <v>277</v>
      </c>
      <c r="C386" s="14" t="s">
        <v>278</v>
      </c>
      <c r="D386" s="10"/>
      <c r="E386" s="10" t="s">
        <v>272</v>
      </c>
      <c r="F386" s="116" t="n">
        <v>1</v>
      </c>
      <c r="G386" s="116" t="n">
        <v>0</v>
      </c>
      <c r="H386" s="116">
        <f>F386*AO386</f>
      </c>
      <c r="I386" s="116">
        <f>F386*AP386</f>
      </c>
      <c r="J386" s="116">
        <f>F386*G386</f>
      </c>
      <c r="K386" s="149" t="s">
        <v>159</v>
      </c>
      <c r="Z386" s="116">
        <f>IF(AQ386="5",BJ386,0)</f>
      </c>
      <c r="AB386" s="116">
        <f>IF(AQ386="1",BH386,0)</f>
      </c>
      <c r="AC386" s="116">
        <f>IF(AQ386="1",BI386,0)</f>
      </c>
      <c r="AD386" s="116">
        <f>IF(AQ386="7",BH386,0)</f>
      </c>
      <c r="AE386" s="116">
        <f>IF(AQ386="7",BI386,0)</f>
      </c>
      <c r="AF386" s="116">
        <f>IF(AQ386="2",BH386,0)</f>
      </c>
      <c r="AG386" s="116">
        <f>IF(AQ386="2",BI386,0)</f>
      </c>
      <c r="AH386" s="116">
        <f>IF(AQ386="0",BJ386,0)</f>
      </c>
      <c r="AI386" s="131" t="s">
        <v>103</v>
      </c>
      <c r="AJ386" s="116">
        <f>IF(AN386=0,J386,0)</f>
      </c>
      <c r="AK386" s="116">
        <f>IF(AN386=12,J386,0)</f>
      </c>
      <c r="AL386" s="116">
        <f>IF(AN386=21,J386,0)</f>
      </c>
      <c r="AN386" s="116" t="n">
        <v>21</v>
      </c>
      <c r="AO386" s="116">
        <f>G386*0</f>
      </c>
      <c r="AP386" s="116">
        <f>G386*(1-0)</f>
      </c>
      <c r="AQ386" s="150" t="s">
        <v>273</v>
      </c>
      <c r="AV386" s="116">
        <f>AW386+AX386</f>
      </c>
      <c r="AW386" s="116">
        <f>F386*AO386</f>
      </c>
      <c r="AX386" s="116">
        <f>F386*AP386</f>
      </c>
      <c r="AY386" s="150" t="s">
        <v>274</v>
      </c>
      <c r="AZ386" s="150" t="s">
        <v>739</v>
      </c>
      <c r="BA386" s="131" t="s">
        <v>288</v>
      </c>
      <c r="BC386" s="116">
        <f>AW386+AX386</f>
      </c>
      <c r="BD386" s="116">
        <f>G386/(100-BE386)*100</f>
      </c>
      <c r="BE386" s="116" t="n">
        <v>0</v>
      </c>
      <c r="BF386" s="116">
        <f>386</f>
      </c>
      <c r="BH386" s="116">
        <f>F386*AO386</f>
      </c>
      <c r="BI386" s="116">
        <f>F386*AP386</f>
      </c>
      <c r="BJ386" s="116">
        <f>F386*G386</f>
      </c>
      <c r="BK386" s="116"/>
      <c r="BL386" s="116"/>
      <c r="BM386" s="116">
        <f>F386*G386</f>
      </c>
      <c r="BW386" s="116" t="n">
        <v>21</v>
      </c>
      <c r="BX386" s="14" t="s">
        <v>278</v>
      </c>
    </row>
    <row r="387">
      <c r="A387" s="151"/>
      <c r="C387" s="152" t="s">
        <v>88</v>
      </c>
      <c r="D387" s="152" t="s">
        <v>4</v>
      </c>
      <c r="F387" s="153" t="n">
        <v>1</v>
      </c>
      <c r="K387" s="154"/>
    </row>
    <row r="388" customHeight="true" ht="40.5">
      <c r="A388" s="151"/>
      <c r="B388" s="157" t="s">
        <v>56</v>
      </c>
      <c r="C388" s="155" t="s">
        <v>742</v>
      </c>
      <c r="D388" s="152"/>
      <c r="E388" s="152"/>
      <c r="F388" s="152"/>
      <c r="G388" s="152"/>
      <c r="H388" s="152"/>
      <c r="I388" s="152"/>
      <c r="J388" s="152"/>
      <c r="K388" s="156"/>
    </row>
    <row r="389">
      <c r="A389" s="144" t="s">
        <v>4</v>
      </c>
      <c r="B389" s="145" t="s">
        <v>4</v>
      </c>
      <c r="C389" s="146" t="s">
        <v>112</v>
      </c>
      <c r="D389" s="145"/>
      <c r="E389" s="147" t="s">
        <v>79</v>
      </c>
      <c r="F389" s="147" t="s">
        <v>79</v>
      </c>
      <c r="G389" s="147" t="s">
        <v>79</v>
      </c>
      <c r="H389" s="123">
        <f>H390+H394+H412+H435+H443+H459+H462+H467+H479+H484+H495+H499+H508+H530+H536+H540+H545+H549+H554+H604</f>
      </c>
      <c r="I389" s="123">
        <f>I390+I394+I412+I435+I443+I459+I462+I467+I479+I484+I495+I499+I508+I530+I536+I540+I545+I549+I554+I604</f>
      </c>
      <c r="J389" s="123">
        <f>J390+J394+J412+J435+J443+J459+J462+J467+J479+J484+J495+J499+J508+J530+J536+J540+J545+J549+J554+J604</f>
      </c>
      <c r="K389" s="148" t="s">
        <v>4</v>
      </c>
    </row>
    <row r="390">
      <c r="A390" s="144" t="s">
        <v>4</v>
      </c>
      <c r="B390" s="145" t="s">
        <v>154</v>
      </c>
      <c r="C390" s="146" t="s">
        <v>155</v>
      </c>
      <c r="D390" s="145"/>
      <c r="E390" s="147" t="s">
        <v>79</v>
      </c>
      <c r="F390" s="147" t="s">
        <v>79</v>
      </c>
      <c r="G390" s="147" t="s">
        <v>79</v>
      </c>
      <c r="H390" s="123">
        <f>SUM(H391:H391)</f>
      </c>
      <c r="I390" s="123">
        <f>SUM(I391:I391)</f>
      </c>
      <c r="J390" s="123">
        <f>SUM(J391:J391)</f>
      </c>
      <c r="K390" s="148" t="s">
        <v>4</v>
      </c>
      <c r="AI390" s="131" t="s">
        <v>113</v>
      </c>
      <c r="AS390" s="123">
        <f>SUM(AJ391:AJ391)</f>
      </c>
      <c r="AT390" s="123">
        <f>SUM(AK391:AK391)</f>
      </c>
      <c r="AU390" s="123">
        <f>SUM(AL391:AL391)</f>
      </c>
    </row>
    <row r="391">
      <c r="A391" s="9" t="s">
        <v>743</v>
      </c>
      <c r="B391" s="10" t="s">
        <v>164</v>
      </c>
      <c r="C391" s="14" t="s">
        <v>165</v>
      </c>
      <c r="D391" s="10"/>
      <c r="E391" s="10" t="s">
        <v>166</v>
      </c>
      <c r="F391" s="116" t="n">
        <v>672</v>
      </c>
      <c r="G391" s="116" t="n">
        <v>0</v>
      </c>
      <c r="H391" s="116">
        <f>F391*AO391</f>
      </c>
      <c r="I391" s="116">
        <f>F391*AP391</f>
      </c>
      <c r="J391" s="116">
        <f>F391*G391</f>
      </c>
      <c r="K391" s="149" t="s">
        <v>159</v>
      </c>
      <c r="Z391" s="116">
        <f>IF(AQ391="5",BJ391,0)</f>
      </c>
      <c r="AB391" s="116">
        <f>IF(AQ391="1",BH391,0)</f>
      </c>
      <c r="AC391" s="116">
        <f>IF(AQ391="1",BI391,0)</f>
      </c>
      <c r="AD391" s="116">
        <f>IF(AQ391="7",BH391,0)</f>
      </c>
      <c r="AE391" s="116">
        <f>IF(AQ391="7",BI391,0)</f>
      </c>
      <c r="AF391" s="116">
        <f>IF(AQ391="2",BH391,0)</f>
      </c>
      <c r="AG391" s="116">
        <f>IF(AQ391="2",BI391,0)</f>
      </c>
      <c r="AH391" s="116">
        <f>IF(AQ391="0",BJ391,0)</f>
      </c>
      <c r="AI391" s="131" t="s">
        <v>113</v>
      </c>
      <c r="AJ391" s="116">
        <f>IF(AN391=0,J391,0)</f>
      </c>
      <c r="AK391" s="116">
        <f>IF(AN391=12,J391,0)</f>
      </c>
      <c r="AL391" s="116">
        <f>IF(AN391=21,J391,0)</f>
      </c>
      <c r="AN391" s="116" t="n">
        <v>21</v>
      </c>
      <c r="AO391" s="116">
        <f>G391*0</f>
      </c>
      <c r="AP391" s="116">
        <f>G391*(1-0)</f>
      </c>
      <c r="AQ391" s="150" t="s">
        <v>88</v>
      </c>
      <c r="AV391" s="116">
        <f>AW391+AX391</f>
      </c>
      <c r="AW391" s="116">
        <f>F391*AO391</f>
      </c>
      <c r="AX391" s="116">
        <f>F391*AP391</f>
      </c>
      <c r="AY391" s="150" t="s">
        <v>160</v>
      </c>
      <c r="AZ391" s="150" t="s">
        <v>744</v>
      </c>
      <c r="BA391" s="131" t="s">
        <v>745</v>
      </c>
      <c r="BC391" s="116">
        <f>AW391+AX391</f>
      </c>
      <c r="BD391" s="116">
        <f>G391/(100-BE391)*100</f>
      </c>
      <c r="BE391" s="116" t="n">
        <v>0</v>
      </c>
      <c r="BF391" s="116">
        <f>391</f>
      </c>
      <c r="BH391" s="116">
        <f>F391*AO391</f>
      </c>
      <c r="BI391" s="116">
        <f>F391*AP391</f>
      </c>
      <c r="BJ391" s="116">
        <f>F391*G391</f>
      </c>
      <c r="BK391" s="116"/>
      <c r="BL391" s="116" t="n">
        <v>11</v>
      </c>
      <c r="BW391" s="116" t="n">
        <v>21</v>
      </c>
      <c r="BX391" s="14" t="s">
        <v>165</v>
      </c>
    </row>
    <row r="392" customHeight="true" ht="13.5">
      <c r="A392" s="151"/>
      <c r="C392" s="155" t="s">
        <v>167</v>
      </c>
      <c r="D392" s="152"/>
      <c r="E392" s="152"/>
      <c r="F392" s="152"/>
      <c r="G392" s="152"/>
      <c r="H392" s="152"/>
      <c r="I392" s="152"/>
      <c r="J392" s="152"/>
      <c r="K392" s="156"/>
    </row>
    <row r="393">
      <c r="A393" s="151"/>
      <c r="C393" s="152" t="s">
        <v>291</v>
      </c>
      <c r="D393" s="152" t="s">
        <v>4</v>
      </c>
      <c r="F393" s="153" t="n">
        <v>672</v>
      </c>
      <c r="K393" s="154"/>
    </row>
    <row r="394">
      <c r="A394" s="144" t="s">
        <v>4</v>
      </c>
      <c r="B394" s="145" t="s">
        <v>168</v>
      </c>
      <c r="C394" s="146" t="s">
        <v>169</v>
      </c>
      <c r="D394" s="145"/>
      <c r="E394" s="147" t="s">
        <v>79</v>
      </c>
      <c r="F394" s="147" t="s">
        <v>79</v>
      </c>
      <c r="G394" s="147" t="s">
        <v>79</v>
      </c>
      <c r="H394" s="123">
        <f>SUM(H395:H409)</f>
      </c>
      <c r="I394" s="123">
        <f>SUM(I395:I409)</f>
      </c>
      <c r="J394" s="123">
        <f>SUM(J395:J409)</f>
      </c>
      <c r="K394" s="148" t="s">
        <v>4</v>
      </c>
      <c r="AI394" s="131" t="s">
        <v>113</v>
      </c>
      <c r="AS394" s="123">
        <f>SUM(AJ395:AJ409)</f>
      </c>
      <c r="AT394" s="123">
        <f>SUM(AK395:AK409)</f>
      </c>
      <c r="AU394" s="123">
        <f>SUM(AL395:AL409)</f>
      </c>
    </row>
    <row r="395">
      <c r="A395" s="9" t="s">
        <v>746</v>
      </c>
      <c r="B395" s="10" t="s">
        <v>747</v>
      </c>
      <c r="C395" s="14" t="s">
        <v>748</v>
      </c>
      <c r="D395" s="10"/>
      <c r="E395" s="10" t="s">
        <v>172</v>
      </c>
      <c r="F395" s="116" t="n">
        <v>1.75</v>
      </c>
      <c r="G395" s="116" t="n">
        <v>0</v>
      </c>
      <c r="H395" s="116">
        <f>F395*AO395</f>
      </c>
      <c r="I395" s="116">
        <f>F395*AP395</f>
      </c>
      <c r="J395" s="116">
        <f>F395*G395</f>
      </c>
      <c r="K395" s="149" t="s">
        <v>159</v>
      </c>
      <c r="Z395" s="116">
        <f>IF(AQ395="5",BJ395,0)</f>
      </c>
      <c r="AB395" s="116">
        <f>IF(AQ395="1",BH395,0)</f>
      </c>
      <c r="AC395" s="116">
        <f>IF(AQ395="1",BI395,0)</f>
      </c>
      <c r="AD395" s="116">
        <f>IF(AQ395="7",BH395,0)</f>
      </c>
      <c r="AE395" s="116">
        <f>IF(AQ395="7",BI395,0)</f>
      </c>
      <c r="AF395" s="116">
        <f>IF(AQ395="2",BH395,0)</f>
      </c>
      <c r="AG395" s="116">
        <f>IF(AQ395="2",BI395,0)</f>
      </c>
      <c r="AH395" s="116">
        <f>IF(AQ395="0",BJ395,0)</f>
      </c>
      <c r="AI395" s="131" t="s">
        <v>113</v>
      </c>
      <c r="AJ395" s="116">
        <f>IF(AN395=0,J395,0)</f>
      </c>
      <c r="AK395" s="116">
        <f>IF(AN395=12,J395,0)</f>
      </c>
      <c r="AL395" s="116">
        <f>IF(AN395=21,J395,0)</f>
      </c>
      <c r="AN395" s="116" t="n">
        <v>21</v>
      </c>
      <c r="AO395" s="116">
        <f>G395*0</f>
      </c>
      <c r="AP395" s="116">
        <f>G395*(1-0)</f>
      </c>
      <c r="AQ395" s="150" t="s">
        <v>88</v>
      </c>
      <c r="AV395" s="116">
        <f>AW395+AX395</f>
      </c>
      <c r="AW395" s="116">
        <f>F395*AO395</f>
      </c>
      <c r="AX395" s="116">
        <f>F395*AP395</f>
      </c>
      <c r="AY395" s="150" t="s">
        <v>173</v>
      </c>
      <c r="AZ395" s="150" t="s">
        <v>744</v>
      </c>
      <c r="BA395" s="131" t="s">
        <v>745</v>
      </c>
      <c r="BC395" s="116">
        <f>AW395+AX395</f>
      </c>
      <c r="BD395" s="116">
        <f>G395/(100-BE395)*100</f>
      </c>
      <c r="BE395" s="116" t="n">
        <v>0</v>
      </c>
      <c r="BF395" s="116">
        <f>395</f>
      </c>
      <c r="BH395" s="116">
        <f>F395*AO395</f>
      </c>
      <c r="BI395" s="116">
        <f>F395*AP395</f>
      </c>
      <c r="BJ395" s="116">
        <f>F395*G395</f>
      </c>
      <c r="BK395" s="116"/>
      <c r="BL395" s="116" t="n">
        <v>13</v>
      </c>
      <c r="BW395" s="116" t="n">
        <v>21</v>
      </c>
      <c r="BX395" s="14" t="s">
        <v>748</v>
      </c>
    </row>
    <row r="396" customHeight="true" ht="13.5">
      <c r="A396" s="151"/>
      <c r="C396" s="155" t="s">
        <v>749</v>
      </c>
      <c r="D396" s="152"/>
      <c r="E396" s="152"/>
      <c r="F396" s="152"/>
      <c r="G396" s="152"/>
      <c r="H396" s="152"/>
      <c r="I396" s="152"/>
      <c r="J396" s="152"/>
      <c r="K396" s="156"/>
    </row>
    <row r="397">
      <c r="A397" s="151"/>
      <c r="C397" s="152" t="s">
        <v>750</v>
      </c>
      <c r="D397" s="152" t="s">
        <v>4</v>
      </c>
      <c r="F397" s="153" t="n">
        <v>1.75</v>
      </c>
      <c r="K397" s="154"/>
    </row>
    <row r="398">
      <c r="A398" s="151"/>
      <c r="B398" s="157" t="s">
        <v>177</v>
      </c>
      <c r="C398" s="155" t="s">
        <v>751</v>
      </c>
      <c r="D398" s="152"/>
      <c r="E398" s="152"/>
      <c r="F398" s="152"/>
      <c r="G398" s="152"/>
      <c r="H398" s="152"/>
      <c r="I398" s="152"/>
      <c r="J398" s="152"/>
      <c r="K398" s="156"/>
      <c r="BX398" s="155" t="s">
        <v>751</v>
      </c>
    </row>
    <row r="399">
      <c r="A399" s="9" t="s">
        <v>752</v>
      </c>
      <c r="B399" s="10" t="s">
        <v>753</v>
      </c>
      <c r="C399" s="14" t="s">
        <v>754</v>
      </c>
      <c r="D399" s="10"/>
      <c r="E399" s="10" t="s">
        <v>172</v>
      </c>
      <c r="F399" s="116" t="n">
        <v>15.526</v>
      </c>
      <c r="G399" s="116" t="n">
        <v>0</v>
      </c>
      <c r="H399" s="116">
        <f>F399*AO399</f>
      </c>
      <c r="I399" s="116">
        <f>F399*AP399</f>
      </c>
      <c r="J399" s="116">
        <f>F399*G399</f>
      </c>
      <c r="K399" s="149" t="s">
        <v>159</v>
      </c>
      <c r="Z399" s="116">
        <f>IF(AQ399="5",BJ399,0)</f>
      </c>
      <c r="AB399" s="116">
        <f>IF(AQ399="1",BH399,0)</f>
      </c>
      <c r="AC399" s="116">
        <f>IF(AQ399="1",BI399,0)</f>
      </c>
      <c r="AD399" s="116">
        <f>IF(AQ399="7",BH399,0)</f>
      </c>
      <c r="AE399" s="116">
        <f>IF(AQ399="7",BI399,0)</f>
      </c>
      <c r="AF399" s="116">
        <f>IF(AQ399="2",BH399,0)</f>
      </c>
      <c r="AG399" s="116">
        <f>IF(AQ399="2",BI399,0)</f>
      </c>
      <c r="AH399" s="116">
        <f>IF(AQ399="0",BJ399,0)</f>
      </c>
      <c r="AI399" s="131" t="s">
        <v>113</v>
      </c>
      <c r="AJ399" s="116">
        <f>IF(AN399=0,J399,0)</f>
      </c>
      <c r="AK399" s="116">
        <f>IF(AN399=12,J399,0)</f>
      </c>
      <c r="AL399" s="116">
        <f>IF(AN399=21,J399,0)</f>
      </c>
      <c r="AN399" s="116" t="n">
        <v>21</v>
      </c>
      <c r="AO399" s="116">
        <f>G399*0</f>
      </c>
      <c r="AP399" s="116">
        <f>G399*(1-0)</f>
      </c>
      <c r="AQ399" s="150" t="s">
        <v>88</v>
      </c>
      <c r="AV399" s="116">
        <f>AW399+AX399</f>
      </c>
      <c r="AW399" s="116">
        <f>F399*AO399</f>
      </c>
      <c r="AX399" s="116">
        <f>F399*AP399</f>
      </c>
      <c r="AY399" s="150" t="s">
        <v>173</v>
      </c>
      <c r="AZ399" s="150" t="s">
        <v>744</v>
      </c>
      <c r="BA399" s="131" t="s">
        <v>745</v>
      </c>
      <c r="BC399" s="116">
        <f>AW399+AX399</f>
      </c>
      <c r="BD399" s="116">
        <f>G399/(100-BE399)*100</f>
      </c>
      <c r="BE399" s="116" t="n">
        <v>0</v>
      </c>
      <c r="BF399" s="116">
        <f>399</f>
      </c>
      <c r="BH399" s="116">
        <f>F399*AO399</f>
      </c>
      <c r="BI399" s="116">
        <f>F399*AP399</f>
      </c>
      <c r="BJ399" s="116">
        <f>F399*G399</f>
      </c>
      <c r="BK399" s="116"/>
      <c r="BL399" s="116" t="n">
        <v>13</v>
      </c>
      <c r="BW399" s="116" t="n">
        <v>21</v>
      </c>
      <c r="BX399" s="14" t="s">
        <v>754</v>
      </c>
    </row>
    <row r="400">
      <c r="A400" s="151"/>
      <c r="C400" s="152" t="s">
        <v>755</v>
      </c>
      <c r="D400" s="152" t="s">
        <v>756</v>
      </c>
      <c r="F400" s="153" t="n">
        <v>15.526</v>
      </c>
      <c r="K400" s="154"/>
    </row>
    <row r="401">
      <c r="A401" s="9" t="s">
        <v>757</v>
      </c>
      <c r="B401" s="10" t="s">
        <v>311</v>
      </c>
      <c r="C401" s="14" t="s">
        <v>312</v>
      </c>
      <c r="D401" s="10"/>
      <c r="E401" s="10" t="s">
        <v>172</v>
      </c>
      <c r="F401" s="116" t="n">
        <v>7.763</v>
      </c>
      <c r="G401" s="116" t="n">
        <v>0</v>
      </c>
      <c r="H401" s="116">
        <f>F401*AO401</f>
      </c>
      <c r="I401" s="116">
        <f>F401*AP401</f>
      </c>
      <c r="J401" s="116">
        <f>F401*G401</f>
      </c>
      <c r="K401" s="149" t="s">
        <v>159</v>
      </c>
      <c r="Z401" s="116">
        <f>IF(AQ401="5",BJ401,0)</f>
      </c>
      <c r="AB401" s="116">
        <f>IF(AQ401="1",BH401,0)</f>
      </c>
      <c r="AC401" s="116">
        <f>IF(AQ401="1",BI401,0)</f>
      </c>
      <c r="AD401" s="116">
        <f>IF(AQ401="7",BH401,0)</f>
      </c>
      <c r="AE401" s="116">
        <f>IF(AQ401="7",BI401,0)</f>
      </c>
      <c r="AF401" s="116">
        <f>IF(AQ401="2",BH401,0)</f>
      </c>
      <c r="AG401" s="116">
        <f>IF(AQ401="2",BI401,0)</f>
      </c>
      <c r="AH401" s="116">
        <f>IF(AQ401="0",BJ401,0)</f>
      </c>
      <c r="AI401" s="131" t="s">
        <v>113</v>
      </c>
      <c r="AJ401" s="116">
        <f>IF(AN401=0,J401,0)</f>
      </c>
      <c r="AK401" s="116">
        <f>IF(AN401=12,J401,0)</f>
      </c>
      <c r="AL401" s="116">
        <f>IF(AN401=21,J401,0)</f>
      </c>
      <c r="AN401" s="116" t="n">
        <v>21</v>
      </c>
      <c r="AO401" s="116">
        <f>G401*0</f>
      </c>
      <c r="AP401" s="116">
        <f>G401*(1-0)</f>
      </c>
      <c r="AQ401" s="150" t="s">
        <v>88</v>
      </c>
      <c r="AV401" s="116">
        <f>AW401+AX401</f>
      </c>
      <c r="AW401" s="116">
        <f>F401*AO401</f>
      </c>
      <c r="AX401" s="116">
        <f>F401*AP401</f>
      </c>
      <c r="AY401" s="150" t="s">
        <v>173</v>
      </c>
      <c r="AZ401" s="150" t="s">
        <v>744</v>
      </c>
      <c r="BA401" s="131" t="s">
        <v>745</v>
      </c>
      <c r="BC401" s="116">
        <f>AW401+AX401</f>
      </c>
      <c r="BD401" s="116">
        <f>G401/(100-BE401)*100</f>
      </c>
      <c r="BE401" s="116" t="n">
        <v>0</v>
      </c>
      <c r="BF401" s="116">
        <f>401</f>
      </c>
      <c r="BH401" s="116">
        <f>F401*AO401</f>
      </c>
      <c r="BI401" s="116">
        <f>F401*AP401</f>
      </c>
      <c r="BJ401" s="116">
        <f>F401*G401</f>
      </c>
      <c r="BK401" s="116"/>
      <c r="BL401" s="116" t="n">
        <v>13</v>
      </c>
      <c r="BW401" s="116" t="n">
        <v>21</v>
      </c>
      <c r="BX401" s="14" t="s">
        <v>312</v>
      </c>
    </row>
    <row r="402">
      <c r="A402" s="151"/>
      <c r="C402" s="152" t="s">
        <v>758</v>
      </c>
      <c r="D402" s="152" t="s">
        <v>314</v>
      </c>
      <c r="F402" s="153" t="n">
        <v>7.763</v>
      </c>
      <c r="K402" s="154"/>
    </row>
    <row r="403">
      <c r="A403" s="151"/>
      <c r="B403" s="157" t="s">
        <v>177</v>
      </c>
      <c r="C403" s="155" t="s">
        <v>315</v>
      </c>
      <c r="D403" s="152"/>
      <c r="E403" s="152"/>
      <c r="F403" s="152"/>
      <c r="G403" s="152"/>
      <c r="H403" s="152"/>
      <c r="I403" s="152"/>
      <c r="J403" s="152"/>
      <c r="K403" s="156"/>
      <c r="BX403" s="155" t="s">
        <v>315</v>
      </c>
    </row>
    <row r="404">
      <c r="A404" s="9" t="s">
        <v>759</v>
      </c>
      <c r="B404" s="10" t="s">
        <v>760</v>
      </c>
      <c r="C404" s="14" t="s">
        <v>761</v>
      </c>
      <c r="D404" s="10"/>
      <c r="E404" s="10" t="s">
        <v>172</v>
      </c>
      <c r="F404" s="116" t="n">
        <v>319.44</v>
      </c>
      <c r="G404" s="116" t="n">
        <v>0</v>
      </c>
      <c r="H404" s="116">
        <f>F404*AO404</f>
      </c>
      <c r="I404" s="116">
        <f>F404*AP404</f>
      </c>
      <c r="J404" s="116">
        <f>F404*G404</f>
      </c>
      <c r="K404" s="149" t="s">
        <v>159</v>
      </c>
      <c r="Z404" s="116">
        <f>IF(AQ404="5",BJ404,0)</f>
      </c>
      <c r="AB404" s="116">
        <f>IF(AQ404="1",BH404,0)</f>
      </c>
      <c r="AC404" s="116">
        <f>IF(AQ404="1",BI404,0)</f>
      </c>
      <c r="AD404" s="116">
        <f>IF(AQ404="7",BH404,0)</f>
      </c>
      <c r="AE404" s="116">
        <f>IF(AQ404="7",BI404,0)</f>
      </c>
      <c r="AF404" s="116">
        <f>IF(AQ404="2",BH404,0)</f>
      </c>
      <c r="AG404" s="116">
        <f>IF(AQ404="2",BI404,0)</f>
      </c>
      <c r="AH404" s="116">
        <f>IF(AQ404="0",BJ404,0)</f>
      </c>
      <c r="AI404" s="131" t="s">
        <v>113</v>
      </c>
      <c r="AJ404" s="116">
        <f>IF(AN404=0,J404,0)</f>
      </c>
      <c r="AK404" s="116">
        <f>IF(AN404=12,J404,0)</f>
      </c>
      <c r="AL404" s="116">
        <f>IF(AN404=21,J404,0)</f>
      </c>
      <c r="AN404" s="116" t="n">
        <v>21</v>
      </c>
      <c r="AO404" s="116">
        <f>G404*0</f>
      </c>
      <c r="AP404" s="116">
        <f>G404*(1-0)</f>
      </c>
      <c r="AQ404" s="150" t="s">
        <v>88</v>
      </c>
      <c r="AV404" s="116">
        <f>AW404+AX404</f>
      </c>
      <c r="AW404" s="116">
        <f>F404*AO404</f>
      </c>
      <c r="AX404" s="116">
        <f>F404*AP404</f>
      </c>
      <c r="AY404" s="150" t="s">
        <v>173</v>
      </c>
      <c r="AZ404" s="150" t="s">
        <v>744</v>
      </c>
      <c r="BA404" s="131" t="s">
        <v>745</v>
      </c>
      <c r="BC404" s="116">
        <f>AW404+AX404</f>
      </c>
      <c r="BD404" s="116">
        <f>G404/(100-BE404)*100</f>
      </c>
      <c r="BE404" s="116" t="n">
        <v>0</v>
      </c>
      <c r="BF404" s="116">
        <f>404</f>
      </c>
      <c r="BH404" s="116">
        <f>F404*AO404</f>
      </c>
      <c r="BI404" s="116">
        <f>F404*AP404</f>
      </c>
      <c r="BJ404" s="116">
        <f>F404*G404</f>
      </c>
      <c r="BK404" s="116"/>
      <c r="BL404" s="116" t="n">
        <v>13</v>
      </c>
      <c r="BW404" s="116" t="n">
        <v>21</v>
      </c>
      <c r="BX404" s="14" t="s">
        <v>761</v>
      </c>
    </row>
    <row r="405">
      <c r="A405" s="151"/>
      <c r="C405" s="152" t="s">
        <v>762</v>
      </c>
      <c r="D405" s="152" t="s">
        <v>763</v>
      </c>
      <c r="F405" s="153" t="n">
        <v>127.05</v>
      </c>
      <c r="K405" s="154"/>
    </row>
    <row r="406">
      <c r="A406" s="151"/>
      <c r="C406" s="152" t="s">
        <v>764</v>
      </c>
      <c r="D406" s="152" t="s">
        <v>765</v>
      </c>
      <c r="F406" s="153" t="n">
        <v>136.422</v>
      </c>
      <c r="K406" s="154"/>
    </row>
    <row r="407">
      <c r="A407" s="151"/>
      <c r="C407" s="152" t="s">
        <v>766</v>
      </c>
      <c r="D407" s="152" t="s">
        <v>4</v>
      </c>
      <c r="F407" s="153" t="n">
        <v>55.968</v>
      </c>
      <c r="K407" s="154"/>
    </row>
    <row r="408" ht="36.75">
      <c r="A408" s="151"/>
      <c r="B408" s="157" t="s">
        <v>177</v>
      </c>
      <c r="C408" s="155" t="s">
        <v>322</v>
      </c>
      <c r="D408" s="152"/>
      <c r="E408" s="152"/>
      <c r="F408" s="152"/>
      <c r="G408" s="152"/>
      <c r="H408" s="152"/>
      <c r="I408" s="152"/>
      <c r="J408" s="152"/>
      <c r="K408" s="156"/>
      <c r="BX408" s="155" t="s">
        <v>322</v>
      </c>
    </row>
    <row r="409">
      <c r="A409" s="9" t="s">
        <v>767</v>
      </c>
      <c r="B409" s="10" t="s">
        <v>324</v>
      </c>
      <c r="C409" s="14" t="s">
        <v>325</v>
      </c>
      <c r="D409" s="10"/>
      <c r="E409" s="10" t="s">
        <v>172</v>
      </c>
      <c r="F409" s="116" t="n">
        <v>159.72</v>
      </c>
      <c r="G409" s="116" t="n">
        <v>0</v>
      </c>
      <c r="H409" s="116">
        <f>F409*AO409</f>
      </c>
      <c r="I409" s="116">
        <f>F409*AP409</f>
      </c>
      <c r="J409" s="116">
        <f>F409*G409</f>
      </c>
      <c r="K409" s="149" t="s">
        <v>159</v>
      </c>
      <c r="Z409" s="116">
        <f>IF(AQ409="5",BJ409,0)</f>
      </c>
      <c r="AB409" s="116">
        <f>IF(AQ409="1",BH409,0)</f>
      </c>
      <c r="AC409" s="116">
        <f>IF(AQ409="1",BI409,0)</f>
      </c>
      <c r="AD409" s="116">
        <f>IF(AQ409="7",BH409,0)</f>
      </c>
      <c r="AE409" s="116">
        <f>IF(AQ409="7",BI409,0)</f>
      </c>
      <c r="AF409" s="116">
        <f>IF(AQ409="2",BH409,0)</f>
      </c>
      <c r="AG409" s="116">
        <f>IF(AQ409="2",BI409,0)</f>
      </c>
      <c r="AH409" s="116">
        <f>IF(AQ409="0",BJ409,0)</f>
      </c>
      <c r="AI409" s="131" t="s">
        <v>113</v>
      </c>
      <c r="AJ409" s="116">
        <f>IF(AN409=0,J409,0)</f>
      </c>
      <c r="AK409" s="116">
        <f>IF(AN409=12,J409,0)</f>
      </c>
      <c r="AL409" s="116">
        <f>IF(AN409=21,J409,0)</f>
      </c>
      <c r="AN409" s="116" t="n">
        <v>21</v>
      </c>
      <c r="AO409" s="116">
        <f>G409*0</f>
      </c>
      <c r="AP409" s="116">
        <f>G409*(1-0)</f>
      </c>
      <c r="AQ409" s="150" t="s">
        <v>88</v>
      </c>
      <c r="AV409" s="116">
        <f>AW409+AX409</f>
      </c>
      <c r="AW409" s="116">
        <f>F409*AO409</f>
      </c>
      <c r="AX409" s="116">
        <f>F409*AP409</f>
      </c>
      <c r="AY409" s="150" t="s">
        <v>173</v>
      </c>
      <c r="AZ409" s="150" t="s">
        <v>744</v>
      </c>
      <c r="BA409" s="131" t="s">
        <v>745</v>
      </c>
      <c r="BC409" s="116">
        <f>AW409+AX409</f>
      </c>
      <c r="BD409" s="116">
        <f>G409/(100-BE409)*100</f>
      </c>
      <c r="BE409" s="116" t="n">
        <v>0</v>
      </c>
      <c r="BF409" s="116">
        <f>409</f>
      </c>
      <c r="BH409" s="116">
        <f>F409*AO409</f>
      </c>
      <c r="BI409" s="116">
        <f>F409*AP409</f>
      </c>
      <c r="BJ409" s="116">
        <f>F409*G409</f>
      </c>
      <c r="BK409" s="116"/>
      <c r="BL409" s="116" t="n">
        <v>13</v>
      </c>
      <c r="BW409" s="116" t="n">
        <v>21</v>
      </c>
      <c r="BX409" s="14" t="s">
        <v>325</v>
      </c>
    </row>
    <row r="410">
      <c r="A410" s="151"/>
      <c r="C410" s="152" t="s">
        <v>768</v>
      </c>
      <c r="D410" s="152" t="s">
        <v>314</v>
      </c>
      <c r="F410" s="153" t="n">
        <v>159.72</v>
      </c>
      <c r="K410" s="154"/>
    </row>
    <row r="411">
      <c r="A411" s="151"/>
      <c r="B411" s="157" t="s">
        <v>177</v>
      </c>
      <c r="C411" s="155" t="s">
        <v>315</v>
      </c>
      <c r="D411" s="152"/>
      <c r="E411" s="152"/>
      <c r="F411" s="152"/>
      <c r="G411" s="152"/>
      <c r="H411" s="152"/>
      <c r="I411" s="152"/>
      <c r="J411" s="152"/>
      <c r="K411" s="156"/>
      <c r="BX411" s="155" t="s">
        <v>315</v>
      </c>
    </row>
    <row r="412">
      <c r="A412" s="144" t="s">
        <v>4</v>
      </c>
      <c r="B412" s="145" t="s">
        <v>256</v>
      </c>
      <c r="C412" s="146" t="s">
        <v>337</v>
      </c>
      <c r="D412" s="145"/>
      <c r="E412" s="147" t="s">
        <v>79</v>
      </c>
      <c r="F412" s="147" t="s">
        <v>79</v>
      </c>
      <c r="G412" s="147" t="s">
        <v>79</v>
      </c>
      <c r="H412" s="123">
        <f>SUM(H413:H433)</f>
      </c>
      <c r="I412" s="123">
        <f>SUM(I413:I433)</f>
      </c>
      <c r="J412" s="123">
        <f>SUM(J413:J433)</f>
      </c>
      <c r="K412" s="148" t="s">
        <v>4</v>
      </c>
      <c r="AI412" s="131" t="s">
        <v>113</v>
      </c>
      <c r="AS412" s="123">
        <f>SUM(AJ413:AJ433)</f>
      </c>
      <c r="AT412" s="123">
        <f>SUM(AK413:AK433)</f>
      </c>
      <c r="AU412" s="123">
        <f>SUM(AL413:AL433)</f>
      </c>
    </row>
    <row r="413">
      <c r="A413" s="9" t="s">
        <v>769</v>
      </c>
      <c r="B413" s="10" t="s">
        <v>339</v>
      </c>
      <c r="C413" s="14" t="s">
        <v>340</v>
      </c>
      <c r="D413" s="10"/>
      <c r="E413" s="10" t="s">
        <v>158</v>
      </c>
      <c r="F413" s="116" t="n">
        <v>580.8</v>
      </c>
      <c r="G413" s="116" t="n">
        <v>0</v>
      </c>
      <c r="H413" s="116">
        <f>F413*AO413</f>
      </c>
      <c r="I413" s="116">
        <f>F413*AP413</f>
      </c>
      <c r="J413" s="116">
        <f>F413*G413</f>
      </c>
      <c r="K413" s="149" t="s">
        <v>159</v>
      </c>
      <c r="Z413" s="116">
        <f>IF(AQ413="5",BJ413,0)</f>
      </c>
      <c r="AB413" s="116">
        <f>IF(AQ413="1",BH413,0)</f>
      </c>
      <c r="AC413" s="116">
        <f>IF(AQ413="1",BI413,0)</f>
      </c>
      <c r="AD413" s="116">
        <f>IF(AQ413="7",BH413,0)</f>
      </c>
      <c r="AE413" s="116">
        <f>IF(AQ413="7",BI413,0)</f>
      </c>
      <c r="AF413" s="116">
        <f>IF(AQ413="2",BH413,0)</f>
      </c>
      <c r="AG413" s="116">
        <f>IF(AQ413="2",BI413,0)</f>
      </c>
      <c r="AH413" s="116">
        <f>IF(AQ413="0",BJ413,0)</f>
      </c>
      <c r="AI413" s="131" t="s">
        <v>113</v>
      </c>
      <c r="AJ413" s="116">
        <f>IF(AN413=0,J413,0)</f>
      </c>
      <c r="AK413" s="116">
        <f>IF(AN413=12,J413,0)</f>
      </c>
      <c r="AL413" s="116">
        <f>IF(AN413=21,J413,0)</f>
      </c>
      <c r="AN413" s="116" t="n">
        <v>21</v>
      </c>
      <c r="AO413" s="116">
        <f>G413*0.091290323</f>
      </c>
      <c r="AP413" s="116">
        <f>G413*(1-0.091290323)</f>
      </c>
      <c r="AQ413" s="150" t="s">
        <v>88</v>
      </c>
      <c r="AV413" s="116">
        <f>AW413+AX413</f>
      </c>
      <c r="AW413" s="116">
        <f>F413*AO413</f>
      </c>
      <c r="AX413" s="116">
        <f>F413*AP413</f>
      </c>
      <c r="AY413" s="150" t="s">
        <v>341</v>
      </c>
      <c r="AZ413" s="150" t="s">
        <v>744</v>
      </c>
      <c r="BA413" s="131" t="s">
        <v>745</v>
      </c>
      <c r="BC413" s="116">
        <f>AW413+AX413</f>
      </c>
      <c r="BD413" s="116">
        <f>G413/(100-BE413)*100</f>
      </c>
      <c r="BE413" s="116" t="n">
        <v>0</v>
      </c>
      <c r="BF413" s="116">
        <f>413</f>
      </c>
      <c r="BH413" s="116">
        <f>F413*AO413</f>
      </c>
      <c r="BI413" s="116">
        <f>F413*AP413</f>
      </c>
      <c r="BJ413" s="116">
        <f>F413*G413</f>
      </c>
      <c r="BK413" s="116"/>
      <c r="BL413" s="116" t="n">
        <v>15</v>
      </c>
      <c r="BW413" s="116" t="n">
        <v>21</v>
      </c>
      <c r="BX413" s="14" t="s">
        <v>340</v>
      </c>
    </row>
    <row r="414">
      <c r="A414" s="151"/>
      <c r="C414" s="152" t="s">
        <v>770</v>
      </c>
      <c r="D414" s="152" t="s">
        <v>763</v>
      </c>
      <c r="F414" s="153" t="n">
        <v>231</v>
      </c>
      <c r="K414" s="154"/>
    </row>
    <row r="415">
      <c r="A415" s="151"/>
      <c r="C415" s="152" t="s">
        <v>771</v>
      </c>
      <c r="D415" s="152" t="s">
        <v>765</v>
      </c>
      <c r="F415" s="153" t="n">
        <v>248.04</v>
      </c>
      <c r="K415" s="154"/>
    </row>
    <row r="416">
      <c r="A416" s="151"/>
      <c r="C416" s="152" t="s">
        <v>772</v>
      </c>
      <c r="D416" s="152" t="s">
        <v>4</v>
      </c>
      <c r="F416" s="153" t="n">
        <v>101.76</v>
      </c>
      <c r="K416" s="154"/>
    </row>
    <row r="417">
      <c r="A417" s="151"/>
      <c r="B417" s="157" t="s">
        <v>177</v>
      </c>
      <c r="C417" s="155" t="s">
        <v>343</v>
      </c>
      <c r="D417" s="152"/>
      <c r="E417" s="152"/>
      <c r="F417" s="152"/>
      <c r="G417" s="152"/>
      <c r="H417" s="152"/>
      <c r="I417" s="152"/>
      <c r="J417" s="152"/>
      <c r="K417" s="156"/>
      <c r="BX417" s="155" t="s">
        <v>343</v>
      </c>
    </row>
    <row r="418">
      <c r="A418" s="9" t="s">
        <v>773</v>
      </c>
      <c r="B418" s="10" t="s">
        <v>345</v>
      </c>
      <c r="C418" s="14" t="s">
        <v>346</v>
      </c>
      <c r="D418" s="10"/>
      <c r="E418" s="10" t="s">
        <v>158</v>
      </c>
      <c r="F418" s="116" t="n">
        <v>580.8</v>
      </c>
      <c r="G418" s="116" t="n">
        <v>0</v>
      </c>
      <c r="H418" s="116">
        <f>F418*AO418</f>
      </c>
      <c r="I418" s="116">
        <f>F418*AP418</f>
      </c>
      <c r="J418" s="116">
        <f>F418*G418</f>
      </c>
      <c r="K418" s="149" t="s">
        <v>159</v>
      </c>
      <c r="Z418" s="116">
        <f>IF(AQ418="5",BJ418,0)</f>
      </c>
      <c r="AB418" s="116">
        <f>IF(AQ418="1",BH418,0)</f>
      </c>
      <c r="AC418" s="116">
        <f>IF(AQ418="1",BI418,0)</f>
      </c>
      <c r="AD418" s="116">
        <f>IF(AQ418="7",BH418,0)</f>
      </c>
      <c r="AE418" s="116">
        <f>IF(AQ418="7",BI418,0)</f>
      </c>
      <c r="AF418" s="116">
        <f>IF(AQ418="2",BH418,0)</f>
      </c>
      <c r="AG418" s="116">
        <f>IF(AQ418="2",BI418,0)</f>
      </c>
      <c r="AH418" s="116">
        <f>IF(AQ418="0",BJ418,0)</f>
      </c>
      <c r="AI418" s="131" t="s">
        <v>113</v>
      </c>
      <c r="AJ418" s="116">
        <f>IF(AN418=0,J418,0)</f>
      </c>
      <c r="AK418" s="116">
        <f>IF(AN418=12,J418,0)</f>
      </c>
      <c r="AL418" s="116">
        <f>IF(AN418=21,J418,0)</f>
      </c>
      <c r="AN418" s="116" t="n">
        <v>21</v>
      </c>
      <c r="AO418" s="116">
        <f>G418*0</f>
      </c>
      <c r="AP418" s="116">
        <f>G418*(1-0)</f>
      </c>
      <c r="AQ418" s="150" t="s">
        <v>88</v>
      </c>
      <c r="AV418" s="116">
        <f>AW418+AX418</f>
      </c>
      <c r="AW418" s="116">
        <f>F418*AO418</f>
      </c>
      <c r="AX418" s="116">
        <f>F418*AP418</f>
      </c>
      <c r="AY418" s="150" t="s">
        <v>341</v>
      </c>
      <c r="AZ418" s="150" t="s">
        <v>744</v>
      </c>
      <c r="BA418" s="131" t="s">
        <v>745</v>
      </c>
      <c r="BC418" s="116">
        <f>AW418+AX418</f>
      </c>
      <c r="BD418" s="116">
        <f>G418/(100-BE418)*100</f>
      </c>
      <c r="BE418" s="116" t="n">
        <v>0</v>
      </c>
      <c r="BF418" s="116">
        <f>418</f>
      </c>
      <c r="BH418" s="116">
        <f>F418*AO418</f>
      </c>
      <c r="BI418" s="116">
        <f>F418*AP418</f>
      </c>
      <c r="BJ418" s="116">
        <f>F418*G418</f>
      </c>
      <c r="BK418" s="116"/>
      <c r="BL418" s="116" t="n">
        <v>15</v>
      </c>
      <c r="BW418" s="116" t="n">
        <v>21</v>
      </c>
      <c r="BX418" s="14" t="s">
        <v>346</v>
      </c>
    </row>
    <row r="419">
      <c r="A419" s="151"/>
      <c r="C419" s="152" t="s">
        <v>774</v>
      </c>
      <c r="D419" s="152" t="s">
        <v>4</v>
      </c>
      <c r="F419" s="153" t="n">
        <v>580.8</v>
      </c>
      <c r="K419" s="154"/>
    </row>
    <row r="420">
      <c r="A420" s="9" t="s">
        <v>775</v>
      </c>
      <c r="B420" s="10" t="s">
        <v>371</v>
      </c>
      <c r="C420" s="14" t="s">
        <v>372</v>
      </c>
      <c r="D420" s="10"/>
      <c r="E420" s="10" t="s">
        <v>158</v>
      </c>
      <c r="F420" s="116" t="n">
        <v>26.1608</v>
      </c>
      <c r="G420" s="116" t="n">
        <v>0</v>
      </c>
      <c r="H420" s="116">
        <f>F420*AO420</f>
      </c>
      <c r="I420" s="116">
        <f>F420*AP420</f>
      </c>
      <c r="J420" s="116">
        <f>F420*G420</f>
      </c>
      <c r="K420" s="149" t="s">
        <v>159</v>
      </c>
      <c r="Z420" s="116">
        <f>IF(AQ420="5",BJ420,0)</f>
      </c>
      <c r="AB420" s="116">
        <f>IF(AQ420="1",BH420,0)</f>
      </c>
      <c r="AC420" s="116">
        <f>IF(AQ420="1",BI420,0)</f>
      </c>
      <c r="AD420" s="116">
        <f>IF(AQ420="7",BH420,0)</f>
      </c>
      <c r="AE420" s="116">
        <f>IF(AQ420="7",BI420,0)</f>
      </c>
      <c r="AF420" s="116">
        <f>IF(AQ420="2",BH420,0)</f>
      </c>
      <c r="AG420" s="116">
        <f>IF(AQ420="2",BI420,0)</f>
      </c>
      <c r="AH420" s="116">
        <f>IF(AQ420="0",BJ420,0)</f>
      </c>
      <c r="AI420" s="131" t="s">
        <v>113</v>
      </c>
      <c r="AJ420" s="116">
        <f>IF(AN420=0,J420,0)</f>
      </c>
      <c r="AK420" s="116">
        <f>IF(AN420=12,J420,0)</f>
      </c>
      <c r="AL420" s="116">
        <f>IF(AN420=21,J420,0)</f>
      </c>
      <c r="AN420" s="116" t="n">
        <v>21</v>
      </c>
      <c r="AO420" s="116">
        <f>G420*0.195776093</f>
      </c>
      <c r="AP420" s="116">
        <f>G420*(1-0.195776093)</f>
      </c>
      <c r="AQ420" s="150" t="s">
        <v>88</v>
      </c>
      <c r="AV420" s="116">
        <f>AW420+AX420</f>
      </c>
      <c r="AW420" s="116">
        <f>F420*AO420</f>
      </c>
      <c r="AX420" s="116">
        <f>F420*AP420</f>
      </c>
      <c r="AY420" s="150" t="s">
        <v>341</v>
      </c>
      <c r="AZ420" s="150" t="s">
        <v>744</v>
      </c>
      <c r="BA420" s="131" t="s">
        <v>745</v>
      </c>
      <c r="BC420" s="116">
        <f>AW420+AX420</f>
      </c>
      <c r="BD420" s="116">
        <f>G420/(100-BE420)*100</f>
      </c>
      <c r="BE420" s="116" t="n">
        <v>0</v>
      </c>
      <c r="BF420" s="116">
        <f>420</f>
      </c>
      <c r="BH420" s="116">
        <f>F420*AO420</f>
      </c>
      <c r="BI420" s="116">
        <f>F420*AP420</f>
      </c>
      <c r="BJ420" s="116">
        <f>F420*G420</f>
      </c>
      <c r="BK420" s="116"/>
      <c r="BL420" s="116" t="n">
        <v>15</v>
      </c>
      <c r="BW420" s="116" t="n">
        <v>21</v>
      </c>
      <c r="BX420" s="14" t="s">
        <v>372</v>
      </c>
    </row>
    <row r="421">
      <c r="A421" s="151"/>
      <c r="C421" s="152" t="s">
        <v>776</v>
      </c>
      <c r="D421" s="152" t="s">
        <v>756</v>
      </c>
      <c r="F421" s="153" t="n">
        <v>26.1608</v>
      </c>
      <c r="K421" s="154"/>
    </row>
    <row r="422">
      <c r="A422" s="151"/>
      <c r="B422" s="157" t="s">
        <v>177</v>
      </c>
      <c r="C422" s="155" t="s">
        <v>352</v>
      </c>
      <c r="D422" s="152"/>
      <c r="E422" s="152"/>
      <c r="F422" s="152"/>
      <c r="G422" s="152"/>
      <c r="H422" s="152"/>
      <c r="I422" s="152"/>
      <c r="J422" s="152"/>
      <c r="K422" s="156"/>
      <c r="BX422" s="155" t="s">
        <v>352</v>
      </c>
    </row>
    <row r="423">
      <c r="A423" s="9" t="s">
        <v>777</v>
      </c>
      <c r="B423" s="10" t="s">
        <v>374</v>
      </c>
      <c r="C423" s="14" t="s">
        <v>375</v>
      </c>
      <c r="D423" s="10"/>
      <c r="E423" s="10" t="s">
        <v>158</v>
      </c>
      <c r="F423" s="116" t="n">
        <v>26.1608</v>
      </c>
      <c r="G423" s="116" t="n">
        <v>0</v>
      </c>
      <c r="H423" s="116">
        <f>F423*AO423</f>
      </c>
      <c r="I423" s="116">
        <f>F423*AP423</f>
      </c>
      <c r="J423" s="116">
        <f>F423*G423</f>
      </c>
      <c r="K423" s="149" t="s">
        <v>159</v>
      </c>
      <c r="Z423" s="116">
        <f>IF(AQ423="5",BJ423,0)</f>
      </c>
      <c r="AB423" s="116">
        <f>IF(AQ423="1",BH423,0)</f>
      </c>
      <c r="AC423" s="116">
        <f>IF(AQ423="1",BI423,0)</f>
      </c>
      <c r="AD423" s="116">
        <f>IF(AQ423="7",BH423,0)</f>
      </c>
      <c r="AE423" s="116">
        <f>IF(AQ423="7",BI423,0)</f>
      </c>
      <c r="AF423" s="116">
        <f>IF(AQ423="2",BH423,0)</f>
      </c>
      <c r="AG423" s="116">
        <f>IF(AQ423="2",BI423,0)</f>
      </c>
      <c r="AH423" s="116">
        <f>IF(AQ423="0",BJ423,0)</f>
      </c>
      <c r="AI423" s="131" t="s">
        <v>113</v>
      </c>
      <c r="AJ423" s="116">
        <f>IF(AN423=0,J423,0)</f>
      </c>
      <c r="AK423" s="116">
        <f>IF(AN423=12,J423,0)</f>
      </c>
      <c r="AL423" s="116">
        <f>IF(AN423=21,J423,0)</f>
      </c>
      <c r="AN423" s="116" t="n">
        <v>21</v>
      </c>
      <c r="AO423" s="116">
        <f>G423*0</f>
      </c>
      <c r="AP423" s="116">
        <f>G423*(1-0)</f>
      </c>
      <c r="AQ423" s="150" t="s">
        <v>88</v>
      </c>
      <c r="AV423" s="116">
        <f>AW423+AX423</f>
      </c>
      <c r="AW423" s="116">
        <f>F423*AO423</f>
      </c>
      <c r="AX423" s="116">
        <f>F423*AP423</f>
      </c>
      <c r="AY423" s="150" t="s">
        <v>341</v>
      </c>
      <c r="AZ423" s="150" t="s">
        <v>744</v>
      </c>
      <c r="BA423" s="131" t="s">
        <v>745</v>
      </c>
      <c r="BC423" s="116">
        <f>AW423+AX423</f>
      </c>
      <c r="BD423" s="116">
        <f>G423/(100-BE423)*100</f>
      </c>
      <c r="BE423" s="116" t="n">
        <v>0</v>
      </c>
      <c r="BF423" s="116">
        <f>423</f>
      </c>
      <c r="BH423" s="116">
        <f>F423*AO423</f>
      </c>
      <c r="BI423" s="116">
        <f>F423*AP423</f>
      </c>
      <c r="BJ423" s="116">
        <f>F423*G423</f>
      </c>
      <c r="BK423" s="116"/>
      <c r="BL423" s="116" t="n">
        <v>15</v>
      </c>
      <c r="BW423" s="116" t="n">
        <v>21</v>
      </c>
      <c r="BX423" s="14" t="s">
        <v>375</v>
      </c>
    </row>
    <row r="424">
      <c r="A424" s="151"/>
      <c r="C424" s="152" t="s">
        <v>778</v>
      </c>
      <c r="D424" s="152" t="s">
        <v>4</v>
      </c>
      <c r="F424" s="153" t="n">
        <v>26.1608</v>
      </c>
      <c r="K424" s="154"/>
    </row>
    <row r="425">
      <c r="A425" s="9" t="s">
        <v>779</v>
      </c>
      <c r="B425" s="10" t="s">
        <v>378</v>
      </c>
      <c r="C425" s="14" t="s">
        <v>379</v>
      </c>
      <c r="D425" s="10"/>
      <c r="E425" s="10" t="s">
        <v>172</v>
      </c>
      <c r="F425" s="116" t="n">
        <v>15.526</v>
      </c>
      <c r="G425" s="116" t="n">
        <v>0</v>
      </c>
      <c r="H425" s="116">
        <f>F425*AO425</f>
      </c>
      <c r="I425" s="116">
        <f>F425*AP425</f>
      </c>
      <c r="J425" s="116">
        <f>F425*G425</f>
      </c>
      <c r="K425" s="149" t="s">
        <v>159</v>
      </c>
      <c r="Z425" s="116">
        <f>IF(AQ425="5",BJ425,0)</f>
      </c>
      <c r="AB425" s="116">
        <f>IF(AQ425="1",BH425,0)</f>
      </c>
      <c r="AC425" s="116">
        <f>IF(AQ425="1",BI425,0)</f>
      </c>
      <c r="AD425" s="116">
        <f>IF(AQ425="7",BH425,0)</f>
      </c>
      <c r="AE425" s="116">
        <f>IF(AQ425="7",BI425,0)</f>
      </c>
      <c r="AF425" s="116">
        <f>IF(AQ425="2",BH425,0)</f>
      </c>
      <c r="AG425" s="116">
        <f>IF(AQ425="2",BI425,0)</f>
      </c>
      <c r="AH425" s="116">
        <f>IF(AQ425="0",BJ425,0)</f>
      </c>
      <c r="AI425" s="131" t="s">
        <v>113</v>
      </c>
      <c r="AJ425" s="116">
        <f>IF(AN425=0,J425,0)</f>
      </c>
      <c r="AK425" s="116">
        <f>IF(AN425=12,J425,0)</f>
      </c>
      <c r="AL425" s="116">
        <f>IF(AN425=21,J425,0)</f>
      </c>
      <c r="AN425" s="116" t="n">
        <v>21</v>
      </c>
      <c r="AO425" s="116">
        <f>G425*0.080281234</f>
      </c>
      <c r="AP425" s="116">
        <f>G425*(1-0.080281234)</f>
      </c>
      <c r="AQ425" s="150" t="s">
        <v>88</v>
      </c>
      <c r="AV425" s="116">
        <f>AW425+AX425</f>
      </c>
      <c r="AW425" s="116">
        <f>F425*AO425</f>
      </c>
      <c r="AX425" s="116">
        <f>F425*AP425</f>
      </c>
      <c r="AY425" s="150" t="s">
        <v>341</v>
      </c>
      <c r="AZ425" s="150" t="s">
        <v>744</v>
      </c>
      <c r="BA425" s="131" t="s">
        <v>745</v>
      </c>
      <c r="BC425" s="116">
        <f>AW425+AX425</f>
      </c>
      <c r="BD425" s="116">
        <f>G425/(100-BE425)*100</f>
      </c>
      <c r="BE425" s="116" t="n">
        <v>0</v>
      </c>
      <c r="BF425" s="116">
        <f>425</f>
      </c>
      <c r="BH425" s="116">
        <f>F425*AO425</f>
      </c>
      <c r="BI425" s="116">
        <f>F425*AP425</f>
      </c>
      <c r="BJ425" s="116">
        <f>F425*G425</f>
      </c>
      <c r="BK425" s="116"/>
      <c r="BL425" s="116" t="n">
        <v>15</v>
      </c>
      <c r="BW425" s="116" t="n">
        <v>21</v>
      </c>
      <c r="BX425" s="14" t="s">
        <v>379</v>
      </c>
    </row>
    <row r="426">
      <c r="A426" s="151"/>
      <c r="C426" s="152" t="s">
        <v>780</v>
      </c>
      <c r="D426" s="152" t="s">
        <v>4</v>
      </c>
      <c r="F426" s="153" t="n">
        <v>15.526</v>
      </c>
      <c r="K426" s="154"/>
    </row>
    <row r="427">
      <c r="A427" s="151"/>
      <c r="B427" s="157" t="s">
        <v>177</v>
      </c>
      <c r="C427" s="155" t="s">
        <v>359</v>
      </c>
      <c r="D427" s="152"/>
      <c r="E427" s="152"/>
      <c r="F427" s="152"/>
      <c r="G427" s="152"/>
      <c r="H427" s="152"/>
      <c r="I427" s="152"/>
      <c r="J427" s="152"/>
      <c r="K427" s="156"/>
      <c r="BX427" s="155" t="s">
        <v>359</v>
      </c>
    </row>
    <row r="428">
      <c r="A428" s="9" t="s">
        <v>781</v>
      </c>
      <c r="B428" s="10" t="s">
        <v>382</v>
      </c>
      <c r="C428" s="14" t="s">
        <v>383</v>
      </c>
      <c r="D428" s="10"/>
      <c r="E428" s="10" t="s">
        <v>172</v>
      </c>
      <c r="F428" s="116" t="n">
        <v>15.526</v>
      </c>
      <c r="G428" s="116" t="n">
        <v>0</v>
      </c>
      <c r="H428" s="116">
        <f>F428*AO428</f>
      </c>
      <c r="I428" s="116">
        <f>F428*AP428</f>
      </c>
      <c r="J428" s="116">
        <f>F428*G428</f>
      </c>
      <c r="K428" s="149" t="s">
        <v>159</v>
      </c>
      <c r="Z428" s="116">
        <f>IF(AQ428="5",BJ428,0)</f>
      </c>
      <c r="AB428" s="116">
        <f>IF(AQ428="1",BH428,0)</f>
      </c>
      <c r="AC428" s="116">
        <f>IF(AQ428="1",BI428,0)</f>
      </c>
      <c r="AD428" s="116">
        <f>IF(AQ428="7",BH428,0)</f>
      </c>
      <c r="AE428" s="116">
        <f>IF(AQ428="7",BI428,0)</f>
      </c>
      <c r="AF428" s="116">
        <f>IF(AQ428="2",BH428,0)</f>
      </c>
      <c r="AG428" s="116">
        <f>IF(AQ428="2",BI428,0)</f>
      </c>
      <c r="AH428" s="116">
        <f>IF(AQ428="0",BJ428,0)</f>
      </c>
      <c r="AI428" s="131" t="s">
        <v>113</v>
      </c>
      <c r="AJ428" s="116">
        <f>IF(AN428=0,J428,0)</f>
      </c>
      <c r="AK428" s="116">
        <f>IF(AN428=12,J428,0)</f>
      </c>
      <c r="AL428" s="116">
        <f>IF(AN428=21,J428,0)</f>
      </c>
      <c r="AN428" s="116" t="n">
        <v>21</v>
      </c>
      <c r="AO428" s="116">
        <f>G428*0</f>
      </c>
      <c r="AP428" s="116">
        <f>G428*(1-0)</f>
      </c>
      <c r="AQ428" s="150" t="s">
        <v>88</v>
      </c>
      <c r="AV428" s="116">
        <f>AW428+AX428</f>
      </c>
      <c r="AW428" s="116">
        <f>F428*AO428</f>
      </c>
      <c r="AX428" s="116">
        <f>F428*AP428</f>
      </c>
      <c r="AY428" s="150" t="s">
        <v>341</v>
      </c>
      <c r="AZ428" s="150" t="s">
        <v>744</v>
      </c>
      <c r="BA428" s="131" t="s">
        <v>745</v>
      </c>
      <c r="BC428" s="116">
        <f>AW428+AX428</f>
      </c>
      <c r="BD428" s="116">
        <f>G428/(100-BE428)*100</f>
      </c>
      <c r="BE428" s="116" t="n">
        <v>0</v>
      </c>
      <c r="BF428" s="116">
        <f>428</f>
      </c>
      <c r="BH428" s="116">
        <f>F428*AO428</f>
      </c>
      <c r="BI428" s="116">
        <f>F428*AP428</f>
      </c>
      <c r="BJ428" s="116">
        <f>F428*G428</f>
      </c>
      <c r="BK428" s="116"/>
      <c r="BL428" s="116" t="n">
        <v>15</v>
      </c>
      <c r="BW428" s="116" t="n">
        <v>21</v>
      </c>
      <c r="BX428" s="14" t="s">
        <v>383</v>
      </c>
    </row>
    <row r="429">
      <c r="A429" s="151"/>
      <c r="C429" s="152" t="s">
        <v>780</v>
      </c>
      <c r="D429" s="152" t="s">
        <v>4</v>
      </c>
      <c r="F429" s="153" t="n">
        <v>15.526</v>
      </c>
      <c r="K429" s="154"/>
    </row>
    <row r="430">
      <c r="A430" s="9" t="s">
        <v>782</v>
      </c>
      <c r="B430" s="10" t="s">
        <v>385</v>
      </c>
      <c r="C430" s="14" t="s">
        <v>386</v>
      </c>
      <c r="D430" s="10"/>
      <c r="E430" s="10" t="s">
        <v>158</v>
      </c>
      <c r="F430" s="116" t="n">
        <v>26.1608</v>
      </c>
      <c r="G430" s="116" t="n">
        <v>0</v>
      </c>
      <c r="H430" s="116">
        <f>F430*AO430</f>
      </c>
      <c r="I430" s="116">
        <f>F430*AP430</f>
      </c>
      <c r="J430" s="116">
        <f>F430*G430</f>
      </c>
      <c r="K430" s="149" t="s">
        <v>159</v>
      </c>
      <c r="Z430" s="116">
        <f>IF(AQ430="5",BJ430,0)</f>
      </c>
      <c r="AB430" s="116">
        <f>IF(AQ430="1",BH430,0)</f>
      </c>
      <c r="AC430" s="116">
        <f>IF(AQ430="1",BI430,0)</f>
      </c>
      <c r="AD430" s="116">
        <f>IF(AQ430="7",BH430,0)</f>
      </c>
      <c r="AE430" s="116">
        <f>IF(AQ430="7",BI430,0)</f>
      </c>
      <c r="AF430" s="116">
        <f>IF(AQ430="2",BH430,0)</f>
      </c>
      <c r="AG430" s="116">
        <f>IF(AQ430="2",BI430,0)</f>
      </c>
      <c r="AH430" s="116">
        <f>IF(AQ430="0",BJ430,0)</f>
      </c>
      <c r="AI430" s="131" t="s">
        <v>113</v>
      </c>
      <c r="AJ430" s="116">
        <f>IF(AN430=0,J430,0)</f>
      </c>
      <c r="AK430" s="116">
        <f>IF(AN430=12,J430,0)</f>
      </c>
      <c r="AL430" s="116">
        <f>IF(AN430=21,J430,0)</f>
      </c>
      <c r="AN430" s="116" t="n">
        <v>21</v>
      </c>
      <c r="AO430" s="116">
        <f>G430*0.053169137</f>
      </c>
      <c r="AP430" s="116">
        <f>G430*(1-0.053169137)</f>
      </c>
      <c r="AQ430" s="150" t="s">
        <v>88</v>
      </c>
      <c r="AV430" s="116">
        <f>AW430+AX430</f>
      </c>
      <c r="AW430" s="116">
        <f>F430*AO430</f>
      </c>
      <c r="AX430" s="116">
        <f>F430*AP430</f>
      </c>
      <c r="AY430" s="150" t="s">
        <v>341</v>
      </c>
      <c r="AZ430" s="150" t="s">
        <v>744</v>
      </c>
      <c r="BA430" s="131" t="s">
        <v>745</v>
      </c>
      <c r="BC430" s="116">
        <f>AW430+AX430</f>
      </c>
      <c r="BD430" s="116">
        <f>G430/(100-BE430)*100</f>
      </c>
      <c r="BE430" s="116" t="n">
        <v>0</v>
      </c>
      <c r="BF430" s="116">
        <f>430</f>
      </c>
      <c r="BH430" s="116">
        <f>F430*AO430</f>
      </c>
      <c r="BI430" s="116">
        <f>F430*AP430</f>
      </c>
      <c r="BJ430" s="116">
        <f>F430*G430</f>
      </c>
      <c r="BK430" s="116"/>
      <c r="BL430" s="116" t="n">
        <v>15</v>
      </c>
      <c r="BW430" s="116" t="n">
        <v>21</v>
      </c>
      <c r="BX430" s="14" t="s">
        <v>386</v>
      </c>
    </row>
    <row r="431">
      <c r="A431" s="151"/>
      <c r="C431" s="152" t="s">
        <v>778</v>
      </c>
      <c r="D431" s="152" t="s">
        <v>4</v>
      </c>
      <c r="F431" s="153" t="n">
        <v>26.1608</v>
      </c>
      <c r="K431" s="154"/>
    </row>
    <row r="432">
      <c r="A432" s="151"/>
      <c r="B432" s="157" t="s">
        <v>177</v>
      </c>
      <c r="C432" s="155" t="s">
        <v>366</v>
      </c>
      <c r="D432" s="152"/>
      <c r="E432" s="152"/>
      <c r="F432" s="152"/>
      <c r="G432" s="152"/>
      <c r="H432" s="152"/>
      <c r="I432" s="152"/>
      <c r="J432" s="152"/>
      <c r="K432" s="156"/>
      <c r="BX432" s="155" t="s">
        <v>366</v>
      </c>
    </row>
    <row r="433">
      <c r="A433" s="9" t="s">
        <v>783</v>
      </c>
      <c r="B433" s="10" t="s">
        <v>388</v>
      </c>
      <c r="C433" s="14" t="s">
        <v>389</v>
      </c>
      <c r="D433" s="10"/>
      <c r="E433" s="10" t="s">
        <v>158</v>
      </c>
      <c r="F433" s="116" t="n">
        <v>26.1608</v>
      </c>
      <c r="G433" s="116" t="n">
        <v>0</v>
      </c>
      <c r="H433" s="116">
        <f>F433*AO433</f>
      </c>
      <c r="I433" s="116">
        <f>F433*AP433</f>
      </c>
      <c r="J433" s="116">
        <f>F433*G433</f>
      </c>
      <c r="K433" s="149" t="s">
        <v>159</v>
      </c>
      <c r="Z433" s="116">
        <f>IF(AQ433="5",BJ433,0)</f>
      </c>
      <c r="AB433" s="116">
        <f>IF(AQ433="1",BH433,0)</f>
      </c>
      <c r="AC433" s="116">
        <f>IF(AQ433="1",BI433,0)</f>
      </c>
      <c r="AD433" s="116">
        <f>IF(AQ433="7",BH433,0)</f>
      </c>
      <c r="AE433" s="116">
        <f>IF(AQ433="7",BI433,0)</f>
      </c>
      <c r="AF433" s="116">
        <f>IF(AQ433="2",BH433,0)</f>
      </c>
      <c r="AG433" s="116">
        <f>IF(AQ433="2",BI433,0)</f>
      </c>
      <c r="AH433" s="116">
        <f>IF(AQ433="0",BJ433,0)</f>
      </c>
      <c r="AI433" s="131" t="s">
        <v>113</v>
      </c>
      <c r="AJ433" s="116">
        <f>IF(AN433=0,J433,0)</f>
      </c>
      <c r="AK433" s="116">
        <f>IF(AN433=12,J433,0)</f>
      </c>
      <c r="AL433" s="116">
        <f>IF(AN433=21,J433,0)</f>
      </c>
      <c r="AN433" s="116" t="n">
        <v>21</v>
      </c>
      <c r="AO433" s="116">
        <f>G433*0</f>
      </c>
      <c r="AP433" s="116">
        <f>G433*(1-0)</f>
      </c>
      <c r="AQ433" s="150" t="s">
        <v>88</v>
      </c>
      <c r="AV433" s="116">
        <f>AW433+AX433</f>
      </c>
      <c r="AW433" s="116">
        <f>F433*AO433</f>
      </c>
      <c r="AX433" s="116">
        <f>F433*AP433</f>
      </c>
      <c r="AY433" s="150" t="s">
        <v>341</v>
      </c>
      <c r="AZ433" s="150" t="s">
        <v>744</v>
      </c>
      <c r="BA433" s="131" t="s">
        <v>745</v>
      </c>
      <c r="BC433" s="116">
        <f>AW433+AX433</f>
      </c>
      <c r="BD433" s="116">
        <f>G433/(100-BE433)*100</f>
      </c>
      <c r="BE433" s="116" t="n">
        <v>0</v>
      </c>
      <c r="BF433" s="116">
        <f>433</f>
      </c>
      <c r="BH433" s="116">
        <f>F433*AO433</f>
      </c>
      <c r="BI433" s="116">
        <f>F433*AP433</f>
      </c>
      <c r="BJ433" s="116">
        <f>F433*G433</f>
      </c>
      <c r="BK433" s="116"/>
      <c r="BL433" s="116" t="n">
        <v>15</v>
      </c>
      <c r="BW433" s="116" t="n">
        <v>21</v>
      </c>
      <c r="BX433" s="14" t="s">
        <v>389</v>
      </c>
    </row>
    <row r="434">
      <c r="A434" s="151"/>
      <c r="C434" s="152" t="s">
        <v>778</v>
      </c>
      <c r="D434" s="152" t="s">
        <v>4</v>
      </c>
      <c r="F434" s="153" t="n">
        <v>26.1608</v>
      </c>
      <c r="K434" s="154"/>
    </row>
    <row r="435">
      <c r="A435" s="144" t="s">
        <v>4</v>
      </c>
      <c r="B435" s="145" t="s">
        <v>263</v>
      </c>
      <c r="C435" s="146" t="s">
        <v>390</v>
      </c>
      <c r="D435" s="145"/>
      <c r="E435" s="147" t="s">
        <v>79</v>
      </c>
      <c r="F435" s="147" t="s">
        <v>79</v>
      </c>
      <c r="G435" s="147" t="s">
        <v>79</v>
      </c>
      <c r="H435" s="123">
        <f>SUM(H436:H440)</f>
      </c>
      <c r="I435" s="123">
        <f>SUM(I436:I440)</f>
      </c>
      <c r="J435" s="123">
        <f>SUM(J436:J440)</f>
      </c>
      <c r="K435" s="148" t="s">
        <v>4</v>
      </c>
      <c r="AI435" s="131" t="s">
        <v>113</v>
      </c>
      <c r="AS435" s="123">
        <f>SUM(AJ436:AJ440)</f>
      </c>
      <c r="AT435" s="123">
        <f>SUM(AK436:AK440)</f>
      </c>
      <c r="AU435" s="123">
        <f>SUM(AL436:AL440)</f>
      </c>
    </row>
    <row r="436">
      <c r="A436" s="9" t="s">
        <v>784</v>
      </c>
      <c r="B436" s="10" t="s">
        <v>392</v>
      </c>
      <c r="C436" s="14" t="s">
        <v>393</v>
      </c>
      <c r="D436" s="10"/>
      <c r="E436" s="10" t="s">
        <v>172</v>
      </c>
      <c r="F436" s="116" t="n">
        <v>175.246</v>
      </c>
      <c r="G436" s="116" t="n">
        <v>0</v>
      </c>
      <c r="H436" s="116">
        <f>F436*AO436</f>
      </c>
      <c r="I436" s="116">
        <f>F436*AP436</f>
      </c>
      <c r="J436" s="116">
        <f>F436*G436</f>
      </c>
      <c r="K436" s="149" t="s">
        <v>159</v>
      </c>
      <c r="Z436" s="116">
        <f>IF(AQ436="5",BJ436,0)</f>
      </c>
      <c r="AB436" s="116">
        <f>IF(AQ436="1",BH436,0)</f>
      </c>
      <c r="AC436" s="116">
        <f>IF(AQ436="1",BI436,0)</f>
      </c>
      <c r="AD436" s="116">
        <f>IF(AQ436="7",BH436,0)</f>
      </c>
      <c r="AE436" s="116">
        <f>IF(AQ436="7",BI436,0)</f>
      </c>
      <c r="AF436" s="116">
        <f>IF(AQ436="2",BH436,0)</f>
      </c>
      <c r="AG436" s="116">
        <f>IF(AQ436="2",BI436,0)</f>
      </c>
      <c r="AH436" s="116">
        <f>IF(AQ436="0",BJ436,0)</f>
      </c>
      <c r="AI436" s="131" t="s">
        <v>113</v>
      </c>
      <c r="AJ436" s="116">
        <f>IF(AN436=0,J436,0)</f>
      </c>
      <c r="AK436" s="116">
        <f>IF(AN436=12,J436,0)</f>
      </c>
      <c r="AL436" s="116">
        <f>IF(AN436=21,J436,0)</f>
      </c>
      <c r="AN436" s="116" t="n">
        <v>21</v>
      </c>
      <c r="AO436" s="116">
        <f>G436*0</f>
      </c>
      <c r="AP436" s="116">
        <f>G436*(1-0)</f>
      </c>
      <c r="AQ436" s="150" t="s">
        <v>88</v>
      </c>
      <c r="AV436" s="116">
        <f>AW436+AX436</f>
      </c>
      <c r="AW436" s="116">
        <f>F436*AO436</f>
      </c>
      <c r="AX436" s="116">
        <f>F436*AP436</f>
      </c>
      <c r="AY436" s="150" t="s">
        <v>394</v>
      </c>
      <c r="AZ436" s="150" t="s">
        <v>744</v>
      </c>
      <c r="BA436" s="131" t="s">
        <v>745</v>
      </c>
      <c r="BC436" s="116">
        <f>AW436+AX436</f>
      </c>
      <c r="BD436" s="116">
        <f>G436/(100-BE436)*100</f>
      </c>
      <c r="BE436" s="116" t="n">
        <v>0</v>
      </c>
      <c r="BF436" s="116">
        <f>436</f>
      </c>
      <c r="BH436" s="116">
        <f>F436*AO436</f>
      </c>
      <c r="BI436" s="116">
        <f>F436*AP436</f>
      </c>
      <c r="BJ436" s="116">
        <f>F436*G436</f>
      </c>
      <c r="BK436" s="116"/>
      <c r="BL436" s="116" t="n">
        <v>16</v>
      </c>
      <c r="BW436" s="116" t="n">
        <v>21</v>
      </c>
      <c r="BX436" s="14" t="s">
        <v>393</v>
      </c>
    </row>
    <row r="437">
      <c r="A437" s="151"/>
      <c r="C437" s="152" t="s">
        <v>768</v>
      </c>
      <c r="D437" s="152" t="s">
        <v>292</v>
      </c>
      <c r="F437" s="153" t="n">
        <v>159.72</v>
      </c>
      <c r="K437" s="154"/>
    </row>
    <row r="438">
      <c r="A438" s="151"/>
      <c r="C438" s="152" t="s">
        <v>780</v>
      </c>
      <c r="D438" s="152" t="s">
        <v>290</v>
      </c>
      <c r="F438" s="153" t="n">
        <v>15.526</v>
      </c>
      <c r="K438" s="154"/>
    </row>
    <row r="439" ht="48.75">
      <c r="A439" s="151"/>
      <c r="B439" s="157" t="s">
        <v>177</v>
      </c>
      <c r="C439" s="155" t="s">
        <v>398</v>
      </c>
      <c r="D439" s="152"/>
      <c r="E439" s="152"/>
      <c r="F439" s="152"/>
      <c r="G439" s="152"/>
      <c r="H439" s="152"/>
      <c r="I439" s="152"/>
      <c r="J439" s="152"/>
      <c r="K439" s="156"/>
      <c r="BX439" s="155" t="s">
        <v>398</v>
      </c>
    </row>
    <row r="440">
      <c r="A440" s="9" t="s">
        <v>785</v>
      </c>
      <c r="B440" s="10" t="s">
        <v>400</v>
      </c>
      <c r="C440" s="14" t="s">
        <v>401</v>
      </c>
      <c r="D440" s="10"/>
      <c r="E440" s="10" t="s">
        <v>172</v>
      </c>
      <c r="F440" s="116" t="n">
        <v>334.966</v>
      </c>
      <c r="G440" s="116" t="n">
        <v>0</v>
      </c>
      <c r="H440" s="116">
        <f>F440*AO440</f>
      </c>
      <c r="I440" s="116">
        <f>F440*AP440</f>
      </c>
      <c r="J440" s="116">
        <f>F440*G440</f>
      </c>
      <c r="K440" s="149" t="s">
        <v>159</v>
      </c>
      <c r="Z440" s="116">
        <f>IF(AQ440="5",BJ440,0)</f>
      </c>
      <c r="AB440" s="116">
        <f>IF(AQ440="1",BH440,0)</f>
      </c>
      <c r="AC440" s="116">
        <f>IF(AQ440="1",BI440,0)</f>
      </c>
      <c r="AD440" s="116">
        <f>IF(AQ440="7",BH440,0)</f>
      </c>
      <c r="AE440" s="116">
        <f>IF(AQ440="7",BI440,0)</f>
      </c>
      <c r="AF440" s="116">
        <f>IF(AQ440="2",BH440,0)</f>
      </c>
      <c r="AG440" s="116">
        <f>IF(AQ440="2",BI440,0)</f>
      </c>
      <c r="AH440" s="116">
        <f>IF(AQ440="0",BJ440,0)</f>
      </c>
      <c r="AI440" s="131" t="s">
        <v>113</v>
      </c>
      <c r="AJ440" s="116">
        <f>IF(AN440=0,J440,0)</f>
      </c>
      <c r="AK440" s="116">
        <f>IF(AN440=12,J440,0)</f>
      </c>
      <c r="AL440" s="116">
        <f>IF(AN440=21,J440,0)</f>
      </c>
      <c r="AN440" s="116" t="n">
        <v>21</v>
      </c>
      <c r="AO440" s="116">
        <f>G440*0</f>
      </c>
      <c r="AP440" s="116">
        <f>G440*(1-0)</f>
      </c>
      <c r="AQ440" s="150" t="s">
        <v>88</v>
      </c>
      <c r="AV440" s="116">
        <f>AW440+AX440</f>
      </c>
      <c r="AW440" s="116">
        <f>F440*AO440</f>
      </c>
      <c r="AX440" s="116">
        <f>F440*AP440</f>
      </c>
      <c r="AY440" s="150" t="s">
        <v>394</v>
      </c>
      <c r="AZ440" s="150" t="s">
        <v>744</v>
      </c>
      <c r="BA440" s="131" t="s">
        <v>745</v>
      </c>
      <c r="BC440" s="116">
        <f>AW440+AX440</f>
      </c>
      <c r="BD440" s="116">
        <f>G440/(100-BE440)*100</f>
      </c>
      <c r="BE440" s="116" t="n">
        <v>0</v>
      </c>
      <c r="BF440" s="116">
        <f>440</f>
      </c>
      <c r="BH440" s="116">
        <f>F440*AO440</f>
      </c>
      <c r="BI440" s="116">
        <f>F440*AP440</f>
      </c>
      <c r="BJ440" s="116">
        <f>F440*G440</f>
      </c>
      <c r="BK440" s="116"/>
      <c r="BL440" s="116" t="n">
        <v>16</v>
      </c>
      <c r="BW440" s="116" t="n">
        <v>21</v>
      </c>
      <c r="BX440" s="14" t="s">
        <v>401</v>
      </c>
    </row>
    <row r="441">
      <c r="A441" s="151"/>
      <c r="C441" s="152" t="s">
        <v>786</v>
      </c>
      <c r="D441" s="152" t="s">
        <v>292</v>
      </c>
      <c r="F441" s="153" t="n">
        <v>319.44</v>
      </c>
      <c r="K441" s="154"/>
    </row>
    <row r="442">
      <c r="A442" s="151"/>
      <c r="C442" s="152" t="s">
        <v>780</v>
      </c>
      <c r="D442" s="152" t="s">
        <v>290</v>
      </c>
      <c r="F442" s="153" t="n">
        <v>15.526</v>
      </c>
      <c r="K442" s="154"/>
    </row>
    <row r="443">
      <c r="A443" s="144" t="s">
        <v>4</v>
      </c>
      <c r="B443" s="145" t="s">
        <v>269</v>
      </c>
      <c r="C443" s="146" t="s">
        <v>406</v>
      </c>
      <c r="D443" s="145"/>
      <c r="E443" s="147" t="s">
        <v>79</v>
      </c>
      <c r="F443" s="147" t="s">
        <v>79</v>
      </c>
      <c r="G443" s="147" t="s">
        <v>79</v>
      </c>
      <c r="H443" s="123">
        <f>SUM(H444:H453)</f>
      </c>
      <c r="I443" s="123">
        <f>SUM(I444:I453)</f>
      </c>
      <c r="J443" s="123">
        <f>SUM(J444:J453)</f>
      </c>
      <c r="K443" s="148" t="s">
        <v>4</v>
      </c>
      <c r="AI443" s="131" t="s">
        <v>113</v>
      </c>
      <c r="AS443" s="123">
        <f>SUM(AJ444:AJ453)</f>
      </c>
      <c r="AT443" s="123">
        <f>SUM(AK444:AK453)</f>
      </c>
      <c r="AU443" s="123">
        <f>SUM(AL444:AL453)</f>
      </c>
    </row>
    <row r="444">
      <c r="A444" s="9" t="s">
        <v>787</v>
      </c>
      <c r="B444" s="10" t="s">
        <v>408</v>
      </c>
      <c r="C444" s="14" t="s">
        <v>409</v>
      </c>
      <c r="D444" s="10"/>
      <c r="E444" s="10" t="s">
        <v>172</v>
      </c>
      <c r="F444" s="116" t="n">
        <v>334.966</v>
      </c>
      <c r="G444" s="116" t="n">
        <v>0</v>
      </c>
      <c r="H444" s="116">
        <f>F444*AO444</f>
      </c>
      <c r="I444" s="116">
        <f>F444*AP444</f>
      </c>
      <c r="J444" s="116">
        <f>F444*G444</f>
      </c>
      <c r="K444" s="149" t="s">
        <v>159</v>
      </c>
      <c r="Z444" s="116">
        <f>IF(AQ444="5",BJ444,0)</f>
      </c>
      <c r="AB444" s="116">
        <f>IF(AQ444="1",BH444,0)</f>
      </c>
      <c r="AC444" s="116">
        <f>IF(AQ444="1",BI444,0)</f>
      </c>
      <c r="AD444" s="116">
        <f>IF(AQ444="7",BH444,0)</f>
      </c>
      <c r="AE444" s="116">
        <f>IF(AQ444="7",BI444,0)</f>
      </c>
      <c r="AF444" s="116">
        <f>IF(AQ444="2",BH444,0)</f>
      </c>
      <c r="AG444" s="116">
        <f>IF(AQ444="2",BI444,0)</f>
      </c>
      <c r="AH444" s="116">
        <f>IF(AQ444="0",BJ444,0)</f>
      </c>
      <c r="AI444" s="131" t="s">
        <v>113</v>
      </c>
      <c r="AJ444" s="116">
        <f>IF(AN444=0,J444,0)</f>
      </c>
      <c r="AK444" s="116">
        <f>IF(AN444=12,J444,0)</f>
      </c>
      <c r="AL444" s="116">
        <f>IF(AN444=21,J444,0)</f>
      </c>
      <c r="AN444" s="116" t="n">
        <v>21</v>
      </c>
      <c r="AO444" s="116">
        <f>G444*0</f>
      </c>
      <c r="AP444" s="116">
        <f>G444*(1-0)</f>
      </c>
      <c r="AQ444" s="150" t="s">
        <v>88</v>
      </c>
      <c r="AV444" s="116">
        <f>AW444+AX444</f>
      </c>
      <c r="AW444" s="116">
        <f>F444*AO444</f>
      </c>
      <c r="AX444" s="116">
        <f>F444*AP444</f>
      </c>
      <c r="AY444" s="150" t="s">
        <v>410</v>
      </c>
      <c r="AZ444" s="150" t="s">
        <v>744</v>
      </c>
      <c r="BA444" s="131" t="s">
        <v>745</v>
      </c>
      <c r="BC444" s="116">
        <f>AW444+AX444</f>
      </c>
      <c r="BD444" s="116">
        <f>G444/(100-BE444)*100</f>
      </c>
      <c r="BE444" s="116" t="n">
        <v>0</v>
      </c>
      <c r="BF444" s="116">
        <f>444</f>
      </c>
      <c r="BH444" s="116">
        <f>F444*AO444</f>
      </c>
      <c r="BI444" s="116">
        <f>F444*AP444</f>
      </c>
      <c r="BJ444" s="116">
        <f>F444*G444</f>
      </c>
      <c r="BK444" s="116"/>
      <c r="BL444" s="116" t="n">
        <v>17</v>
      </c>
      <c r="BW444" s="116" t="n">
        <v>21</v>
      </c>
      <c r="BX444" s="14" t="s">
        <v>409</v>
      </c>
    </row>
    <row r="445">
      <c r="A445" s="151"/>
      <c r="C445" s="152" t="s">
        <v>788</v>
      </c>
      <c r="D445" s="152" t="s">
        <v>4</v>
      </c>
      <c r="F445" s="153" t="n">
        <v>334.966</v>
      </c>
      <c r="K445" s="154"/>
    </row>
    <row r="446">
      <c r="A446" s="151"/>
      <c r="B446" s="157" t="s">
        <v>177</v>
      </c>
      <c r="C446" s="155" t="s">
        <v>412</v>
      </c>
      <c r="D446" s="152"/>
      <c r="E446" s="152"/>
      <c r="F446" s="152"/>
      <c r="G446" s="152"/>
      <c r="H446" s="152"/>
      <c r="I446" s="152"/>
      <c r="J446" s="152"/>
      <c r="K446" s="156"/>
      <c r="BX446" s="155" t="s">
        <v>412</v>
      </c>
    </row>
    <row r="447">
      <c r="A447" s="9" t="s">
        <v>789</v>
      </c>
      <c r="B447" s="10" t="s">
        <v>419</v>
      </c>
      <c r="C447" s="14" t="s">
        <v>420</v>
      </c>
      <c r="D447" s="10"/>
      <c r="E447" s="10" t="s">
        <v>172</v>
      </c>
      <c r="F447" s="116" t="n">
        <v>130.406</v>
      </c>
      <c r="G447" s="116" t="n">
        <v>0</v>
      </c>
      <c r="H447" s="116">
        <f>F447*AO447</f>
      </c>
      <c r="I447" s="116">
        <f>F447*AP447</f>
      </c>
      <c r="J447" s="116">
        <f>F447*G447</f>
      </c>
      <c r="K447" s="149" t="s">
        <v>159</v>
      </c>
      <c r="Z447" s="116">
        <f>IF(AQ447="5",BJ447,0)</f>
      </c>
      <c r="AB447" s="116">
        <f>IF(AQ447="1",BH447,0)</f>
      </c>
      <c r="AC447" s="116">
        <f>IF(AQ447="1",BI447,0)</f>
      </c>
      <c r="AD447" s="116">
        <f>IF(AQ447="7",BH447,0)</f>
      </c>
      <c r="AE447" s="116">
        <f>IF(AQ447="7",BI447,0)</f>
      </c>
      <c r="AF447" s="116">
        <f>IF(AQ447="2",BH447,0)</f>
      </c>
      <c r="AG447" s="116">
        <f>IF(AQ447="2",BI447,0)</f>
      </c>
      <c r="AH447" s="116">
        <f>IF(AQ447="0",BJ447,0)</f>
      </c>
      <c r="AI447" s="131" t="s">
        <v>113</v>
      </c>
      <c r="AJ447" s="116">
        <f>IF(AN447=0,J447,0)</f>
      </c>
      <c r="AK447" s="116">
        <f>IF(AN447=12,J447,0)</f>
      </c>
      <c r="AL447" s="116">
        <f>IF(AN447=21,J447,0)</f>
      </c>
      <c r="AN447" s="116" t="n">
        <v>21</v>
      </c>
      <c r="AO447" s="116">
        <f>G447*0.516760273</f>
      </c>
      <c r="AP447" s="116">
        <f>G447*(1-0.516760273)</f>
      </c>
      <c r="AQ447" s="150" t="s">
        <v>88</v>
      </c>
      <c r="AV447" s="116">
        <f>AW447+AX447</f>
      </c>
      <c r="AW447" s="116">
        <f>F447*AO447</f>
      </c>
      <c r="AX447" s="116">
        <f>F447*AP447</f>
      </c>
      <c r="AY447" s="150" t="s">
        <v>410</v>
      </c>
      <c r="AZ447" s="150" t="s">
        <v>744</v>
      </c>
      <c r="BA447" s="131" t="s">
        <v>745</v>
      </c>
      <c r="BC447" s="116">
        <f>AW447+AX447</f>
      </c>
      <c r="BD447" s="116">
        <f>G447/(100-BE447)*100</f>
      </c>
      <c r="BE447" s="116" t="n">
        <v>0</v>
      </c>
      <c r="BF447" s="116">
        <f>447</f>
      </c>
      <c r="BH447" s="116">
        <f>F447*AO447</f>
      </c>
      <c r="BI447" s="116">
        <f>F447*AP447</f>
      </c>
      <c r="BJ447" s="116">
        <f>F447*G447</f>
      </c>
      <c r="BK447" s="116"/>
      <c r="BL447" s="116" t="n">
        <v>17</v>
      </c>
      <c r="BW447" s="116" t="n">
        <v>21</v>
      </c>
      <c r="BX447" s="14" t="s">
        <v>420</v>
      </c>
    </row>
    <row r="448" customHeight="true" ht="13.5">
      <c r="A448" s="151"/>
      <c r="C448" s="155" t="s">
        <v>421</v>
      </c>
      <c r="D448" s="152"/>
      <c r="E448" s="152"/>
      <c r="F448" s="152"/>
      <c r="G448" s="152"/>
      <c r="H448" s="152"/>
      <c r="I448" s="152"/>
      <c r="J448" s="152"/>
      <c r="K448" s="156"/>
    </row>
    <row r="449">
      <c r="A449" s="151"/>
      <c r="C449" s="152" t="s">
        <v>790</v>
      </c>
      <c r="D449" s="152" t="s">
        <v>763</v>
      </c>
      <c r="F449" s="153" t="n">
        <v>50.82</v>
      </c>
      <c r="K449" s="154"/>
    </row>
    <row r="450">
      <c r="A450" s="151"/>
      <c r="C450" s="152" t="s">
        <v>791</v>
      </c>
      <c r="D450" s="152" t="s">
        <v>765</v>
      </c>
      <c r="F450" s="153" t="n">
        <v>49.236</v>
      </c>
      <c r="K450" s="154"/>
    </row>
    <row r="451">
      <c r="A451" s="151"/>
      <c r="C451" s="152" t="s">
        <v>792</v>
      </c>
      <c r="D451" s="152" t="s">
        <v>4</v>
      </c>
      <c r="F451" s="153" t="n">
        <v>20.064</v>
      </c>
      <c r="K451" s="154"/>
    </row>
    <row r="452">
      <c r="A452" s="151"/>
      <c r="C452" s="152" t="s">
        <v>793</v>
      </c>
      <c r="D452" s="152" t="s">
        <v>756</v>
      </c>
      <c r="F452" s="153" t="n">
        <v>10.286</v>
      </c>
      <c r="K452" s="154"/>
    </row>
    <row r="453">
      <c r="A453" s="9" t="s">
        <v>794</v>
      </c>
      <c r="B453" s="10" t="s">
        <v>431</v>
      </c>
      <c r="C453" s="14" t="s">
        <v>432</v>
      </c>
      <c r="D453" s="10"/>
      <c r="E453" s="10" t="s">
        <v>172</v>
      </c>
      <c r="F453" s="116" t="n">
        <v>114.62</v>
      </c>
      <c r="G453" s="116" t="n">
        <v>0</v>
      </c>
      <c r="H453" s="116">
        <f>F453*AO453</f>
      </c>
      <c r="I453" s="116">
        <f>F453*AP453</f>
      </c>
      <c r="J453" s="116">
        <f>F453*G453</f>
      </c>
      <c r="K453" s="149" t="s">
        <v>159</v>
      </c>
      <c r="Z453" s="116">
        <f>IF(AQ453="5",BJ453,0)</f>
      </c>
      <c r="AB453" s="116">
        <f>IF(AQ453="1",BH453,0)</f>
      </c>
      <c r="AC453" s="116">
        <f>IF(AQ453="1",BI453,0)</f>
      </c>
      <c r="AD453" s="116">
        <f>IF(AQ453="7",BH453,0)</f>
      </c>
      <c r="AE453" s="116">
        <f>IF(AQ453="7",BI453,0)</f>
      </c>
      <c r="AF453" s="116">
        <f>IF(AQ453="2",BH453,0)</f>
      </c>
      <c r="AG453" s="116">
        <f>IF(AQ453="2",BI453,0)</f>
      </c>
      <c r="AH453" s="116">
        <f>IF(AQ453="0",BJ453,0)</f>
      </c>
      <c r="AI453" s="131" t="s">
        <v>113</v>
      </c>
      <c r="AJ453" s="116">
        <f>IF(AN453=0,J453,0)</f>
      </c>
      <c r="AK453" s="116">
        <f>IF(AN453=12,J453,0)</f>
      </c>
      <c r="AL453" s="116">
        <f>IF(AN453=21,J453,0)</f>
      </c>
      <c r="AN453" s="116" t="n">
        <v>21</v>
      </c>
      <c r="AO453" s="116">
        <f>G453*0.512975695</f>
      </c>
      <c r="AP453" s="116">
        <f>G453*(1-0.512975695)</f>
      </c>
      <c r="AQ453" s="150" t="s">
        <v>88</v>
      </c>
      <c r="AV453" s="116">
        <f>AW453+AX453</f>
      </c>
      <c r="AW453" s="116">
        <f>F453*AO453</f>
      </c>
      <c r="AX453" s="116">
        <f>F453*AP453</f>
      </c>
      <c r="AY453" s="150" t="s">
        <v>410</v>
      </c>
      <c r="AZ453" s="150" t="s">
        <v>744</v>
      </c>
      <c r="BA453" s="131" t="s">
        <v>745</v>
      </c>
      <c r="BC453" s="116">
        <f>AW453+AX453</f>
      </c>
      <c r="BD453" s="116">
        <f>G453/(100-BE453)*100</f>
      </c>
      <c r="BE453" s="116" t="n">
        <v>0</v>
      </c>
      <c r="BF453" s="116">
        <f>453</f>
      </c>
      <c r="BH453" s="116">
        <f>F453*AO453</f>
      </c>
      <c r="BI453" s="116">
        <f>F453*AP453</f>
      </c>
      <c r="BJ453" s="116">
        <f>F453*G453</f>
      </c>
      <c r="BK453" s="116"/>
      <c r="BL453" s="116" t="n">
        <v>17</v>
      </c>
      <c r="BW453" s="116" t="n">
        <v>21</v>
      </c>
      <c r="BX453" s="14" t="s">
        <v>432</v>
      </c>
    </row>
    <row r="454" customHeight="true" ht="13.5">
      <c r="A454" s="151"/>
      <c r="C454" s="155" t="s">
        <v>433</v>
      </c>
      <c r="D454" s="152"/>
      <c r="E454" s="152"/>
      <c r="F454" s="152"/>
      <c r="G454" s="152"/>
      <c r="H454" s="152"/>
      <c r="I454" s="152"/>
      <c r="J454" s="152"/>
      <c r="K454" s="156"/>
    </row>
    <row r="455">
      <c r="A455" s="151"/>
      <c r="C455" s="152" t="s">
        <v>795</v>
      </c>
      <c r="D455" s="152" t="s">
        <v>763</v>
      </c>
      <c r="F455" s="153" t="n">
        <v>42.35</v>
      </c>
      <c r="K455" s="154"/>
    </row>
    <row r="456">
      <c r="A456" s="151"/>
      <c r="C456" s="152" t="s">
        <v>796</v>
      </c>
      <c r="D456" s="152" t="s">
        <v>765</v>
      </c>
      <c r="F456" s="153" t="n">
        <v>51.15</v>
      </c>
      <c r="K456" s="154"/>
    </row>
    <row r="457">
      <c r="A457" s="151"/>
      <c r="C457" s="152" t="s">
        <v>797</v>
      </c>
      <c r="D457" s="152" t="s">
        <v>4</v>
      </c>
      <c r="F457" s="153" t="n">
        <v>21.12</v>
      </c>
      <c r="K457" s="154"/>
    </row>
    <row r="458">
      <c r="A458" s="151"/>
      <c r="B458" s="157" t="s">
        <v>177</v>
      </c>
      <c r="C458" s="155" t="s">
        <v>435</v>
      </c>
      <c r="D458" s="152"/>
      <c r="E458" s="152"/>
      <c r="F458" s="152"/>
      <c r="G458" s="152"/>
      <c r="H458" s="152"/>
      <c r="I458" s="152"/>
      <c r="J458" s="152"/>
      <c r="K458" s="156"/>
      <c r="BX458" s="155" t="s">
        <v>435</v>
      </c>
    </row>
    <row r="459">
      <c r="A459" s="144" t="s">
        <v>4</v>
      </c>
      <c r="B459" s="145" t="s">
        <v>281</v>
      </c>
      <c r="C459" s="146" t="s">
        <v>441</v>
      </c>
      <c r="D459" s="145"/>
      <c r="E459" s="147" t="s">
        <v>79</v>
      </c>
      <c r="F459" s="147" t="s">
        <v>79</v>
      </c>
      <c r="G459" s="147" t="s">
        <v>79</v>
      </c>
      <c r="H459" s="123">
        <f>SUM(H460:H460)</f>
      </c>
      <c r="I459" s="123">
        <f>SUM(I460:I460)</f>
      </c>
      <c r="J459" s="123">
        <f>SUM(J460:J460)</f>
      </c>
      <c r="K459" s="148" t="s">
        <v>4</v>
      </c>
      <c r="AI459" s="131" t="s">
        <v>113</v>
      </c>
      <c r="AS459" s="123">
        <f>SUM(AJ460:AJ460)</f>
      </c>
      <c r="AT459" s="123">
        <f>SUM(AK460:AK460)</f>
      </c>
      <c r="AU459" s="123">
        <f>SUM(AL460:AL460)</f>
      </c>
    </row>
    <row r="460">
      <c r="A460" s="9" t="s">
        <v>798</v>
      </c>
      <c r="B460" s="10" t="s">
        <v>443</v>
      </c>
      <c r="C460" s="14" t="s">
        <v>444</v>
      </c>
      <c r="D460" s="10"/>
      <c r="E460" s="10" t="s">
        <v>172</v>
      </c>
      <c r="F460" s="116" t="n">
        <v>334.966</v>
      </c>
      <c r="G460" s="116" t="n">
        <v>0</v>
      </c>
      <c r="H460" s="116">
        <f>F460*AO460</f>
      </c>
      <c r="I460" s="116">
        <f>F460*AP460</f>
      </c>
      <c r="J460" s="116">
        <f>F460*G460</f>
      </c>
      <c r="K460" s="149" t="s">
        <v>159</v>
      </c>
      <c r="Z460" s="116">
        <f>IF(AQ460="5",BJ460,0)</f>
      </c>
      <c r="AB460" s="116">
        <f>IF(AQ460="1",BH460,0)</f>
      </c>
      <c r="AC460" s="116">
        <f>IF(AQ460="1",BI460,0)</f>
      </c>
      <c r="AD460" s="116">
        <f>IF(AQ460="7",BH460,0)</f>
      </c>
      <c r="AE460" s="116">
        <f>IF(AQ460="7",BI460,0)</f>
      </c>
      <c r="AF460" s="116">
        <f>IF(AQ460="2",BH460,0)</f>
      </c>
      <c r="AG460" s="116">
        <f>IF(AQ460="2",BI460,0)</f>
      </c>
      <c r="AH460" s="116">
        <f>IF(AQ460="0",BJ460,0)</f>
      </c>
      <c r="AI460" s="131" t="s">
        <v>113</v>
      </c>
      <c r="AJ460" s="116">
        <f>IF(AN460=0,J460,0)</f>
      </c>
      <c r="AK460" s="116">
        <f>IF(AN460=12,J460,0)</f>
      </c>
      <c r="AL460" s="116">
        <f>IF(AN460=21,J460,0)</f>
      </c>
      <c r="AN460" s="116" t="n">
        <v>21</v>
      </c>
      <c r="AO460" s="116">
        <f>G460*0</f>
      </c>
      <c r="AP460" s="116">
        <f>G460*(1-0)</f>
      </c>
      <c r="AQ460" s="150" t="s">
        <v>88</v>
      </c>
      <c r="AV460" s="116">
        <f>AW460+AX460</f>
      </c>
      <c r="AW460" s="116">
        <f>F460*AO460</f>
      </c>
      <c r="AX460" s="116">
        <f>F460*AP460</f>
      </c>
      <c r="AY460" s="150" t="s">
        <v>445</v>
      </c>
      <c r="AZ460" s="150" t="s">
        <v>744</v>
      </c>
      <c r="BA460" s="131" t="s">
        <v>745</v>
      </c>
      <c r="BC460" s="116">
        <f>AW460+AX460</f>
      </c>
      <c r="BD460" s="116">
        <f>G460/(100-BE460)*100</f>
      </c>
      <c r="BE460" s="116" t="n">
        <v>0</v>
      </c>
      <c r="BF460" s="116">
        <f>460</f>
      </c>
      <c r="BH460" s="116">
        <f>F460*AO460</f>
      </c>
      <c r="BI460" s="116">
        <f>F460*AP460</f>
      </c>
      <c r="BJ460" s="116">
        <f>F460*G460</f>
      </c>
      <c r="BK460" s="116"/>
      <c r="BL460" s="116" t="n">
        <v>19</v>
      </c>
      <c r="BW460" s="116" t="n">
        <v>21</v>
      </c>
      <c r="BX460" s="14" t="s">
        <v>444</v>
      </c>
    </row>
    <row r="461">
      <c r="A461" s="151"/>
      <c r="C461" s="152" t="s">
        <v>799</v>
      </c>
      <c r="D461" s="152" t="s">
        <v>4</v>
      </c>
      <c r="F461" s="153" t="n">
        <v>334.966</v>
      </c>
      <c r="K461" s="154"/>
    </row>
    <row r="462">
      <c r="A462" s="144" t="s">
        <v>4</v>
      </c>
      <c r="B462" s="145" t="s">
        <v>327</v>
      </c>
      <c r="C462" s="146" t="s">
        <v>467</v>
      </c>
      <c r="D462" s="145"/>
      <c r="E462" s="147" t="s">
        <v>79</v>
      </c>
      <c r="F462" s="147" t="s">
        <v>79</v>
      </c>
      <c r="G462" s="147" t="s">
        <v>79</v>
      </c>
      <c r="H462" s="123">
        <f>SUM(H463:H463)</f>
      </c>
      <c r="I462" s="123">
        <f>SUM(I463:I463)</f>
      </c>
      <c r="J462" s="123">
        <f>SUM(J463:J463)</f>
      </c>
      <c r="K462" s="148" t="s">
        <v>4</v>
      </c>
      <c r="AI462" s="131" t="s">
        <v>113</v>
      </c>
      <c r="AS462" s="123">
        <f>SUM(AJ463:AJ463)</f>
      </c>
      <c r="AT462" s="123">
        <f>SUM(AK463:AK463)</f>
      </c>
      <c r="AU462" s="123">
        <f>SUM(AL463:AL463)</f>
      </c>
    </row>
    <row r="463">
      <c r="A463" s="9" t="s">
        <v>800</v>
      </c>
      <c r="B463" s="10" t="s">
        <v>469</v>
      </c>
      <c r="C463" s="14" t="s">
        <v>470</v>
      </c>
      <c r="D463" s="10"/>
      <c r="E463" s="10" t="s">
        <v>259</v>
      </c>
      <c r="F463" s="116" t="n">
        <v>0.0803</v>
      </c>
      <c r="G463" s="116" t="n">
        <v>0</v>
      </c>
      <c r="H463" s="116">
        <f>F463*AO463</f>
      </c>
      <c r="I463" s="116">
        <f>F463*AP463</f>
      </c>
      <c r="J463" s="116">
        <f>F463*G463</f>
      </c>
      <c r="K463" s="149" t="s">
        <v>159</v>
      </c>
      <c r="Z463" s="116">
        <f>IF(AQ463="5",BJ463,0)</f>
      </c>
      <c r="AB463" s="116">
        <f>IF(AQ463="1",BH463,0)</f>
      </c>
      <c r="AC463" s="116">
        <f>IF(AQ463="1",BI463,0)</f>
      </c>
      <c r="AD463" s="116">
        <f>IF(AQ463="7",BH463,0)</f>
      </c>
      <c r="AE463" s="116">
        <f>IF(AQ463="7",BI463,0)</f>
      </c>
      <c r="AF463" s="116">
        <f>IF(AQ463="2",BH463,0)</f>
      </c>
      <c r="AG463" s="116">
        <f>IF(AQ463="2",BI463,0)</f>
      </c>
      <c r="AH463" s="116">
        <f>IF(AQ463="0",BJ463,0)</f>
      </c>
      <c r="AI463" s="131" t="s">
        <v>113</v>
      </c>
      <c r="AJ463" s="116">
        <f>IF(AN463=0,J463,0)</f>
      </c>
      <c r="AK463" s="116">
        <f>IF(AN463=12,J463,0)</f>
      </c>
      <c r="AL463" s="116">
        <f>IF(AN463=21,J463,0)</f>
      </c>
      <c r="AN463" s="116" t="n">
        <v>21</v>
      </c>
      <c r="AO463" s="116">
        <f>G463*0.784800533</f>
      </c>
      <c r="AP463" s="116">
        <f>G463*(1-0.784800533)</f>
      </c>
      <c r="AQ463" s="150" t="s">
        <v>88</v>
      </c>
      <c r="AV463" s="116">
        <f>AW463+AX463</f>
      </c>
      <c r="AW463" s="116">
        <f>F463*AO463</f>
      </c>
      <c r="AX463" s="116">
        <f>F463*AP463</f>
      </c>
      <c r="AY463" s="150" t="s">
        <v>471</v>
      </c>
      <c r="AZ463" s="150" t="s">
        <v>801</v>
      </c>
      <c r="BA463" s="131" t="s">
        <v>745</v>
      </c>
      <c r="BC463" s="116">
        <f>AW463+AX463</f>
      </c>
      <c r="BD463" s="116">
        <f>G463/(100-BE463)*100</f>
      </c>
      <c r="BE463" s="116" t="n">
        <v>0</v>
      </c>
      <c r="BF463" s="116">
        <f>463</f>
      </c>
      <c r="BH463" s="116">
        <f>F463*AO463</f>
      </c>
      <c r="BI463" s="116">
        <f>F463*AP463</f>
      </c>
      <c r="BJ463" s="116">
        <f>F463*G463</f>
      </c>
      <c r="BK463" s="116"/>
      <c r="BL463" s="116" t="n">
        <v>27</v>
      </c>
      <c r="BW463" s="116" t="n">
        <v>21</v>
      </c>
      <c r="BX463" s="14" t="s">
        <v>470</v>
      </c>
    </row>
    <row r="464" customHeight="true" ht="13.5">
      <c r="A464" s="151"/>
      <c r="C464" s="155" t="s">
        <v>472</v>
      </c>
      <c r="D464" s="152"/>
      <c r="E464" s="152"/>
      <c r="F464" s="152"/>
      <c r="G464" s="152"/>
      <c r="H464" s="152"/>
      <c r="I464" s="152"/>
      <c r="J464" s="152"/>
      <c r="K464" s="156"/>
    </row>
    <row r="465">
      <c r="A465" s="151"/>
      <c r="C465" s="152" t="s">
        <v>802</v>
      </c>
      <c r="D465" s="152" t="s">
        <v>756</v>
      </c>
      <c r="F465" s="153" t="n">
        <v>0.0803</v>
      </c>
      <c r="K465" s="154"/>
    </row>
    <row r="466">
      <c r="A466" s="151"/>
      <c r="B466" s="157" t="s">
        <v>177</v>
      </c>
      <c r="C466" s="155" t="s">
        <v>474</v>
      </c>
      <c r="D466" s="152"/>
      <c r="E466" s="152"/>
      <c r="F466" s="152"/>
      <c r="G466" s="152"/>
      <c r="H466" s="152"/>
      <c r="I466" s="152"/>
      <c r="J466" s="152"/>
      <c r="K466" s="156"/>
      <c r="BX466" s="155" t="s">
        <v>474</v>
      </c>
    </row>
    <row r="467">
      <c r="A467" s="144" t="s">
        <v>4</v>
      </c>
      <c r="B467" s="145" t="s">
        <v>187</v>
      </c>
      <c r="C467" s="146" t="s">
        <v>188</v>
      </c>
      <c r="D467" s="145"/>
      <c r="E467" s="147" t="s">
        <v>79</v>
      </c>
      <c r="F467" s="147" t="s">
        <v>79</v>
      </c>
      <c r="G467" s="147" t="s">
        <v>79</v>
      </c>
      <c r="H467" s="123">
        <f>SUM(H468:H475)</f>
      </c>
      <c r="I467" s="123">
        <f>SUM(I468:I475)</f>
      </c>
      <c r="J467" s="123">
        <f>SUM(J468:J475)</f>
      </c>
      <c r="K467" s="148" t="s">
        <v>4</v>
      </c>
      <c r="AI467" s="131" t="s">
        <v>113</v>
      </c>
      <c r="AS467" s="123">
        <f>SUM(AJ468:AJ475)</f>
      </c>
      <c r="AT467" s="123">
        <f>SUM(AK468:AK475)</f>
      </c>
      <c r="AU467" s="123">
        <f>SUM(AL468:AL475)</f>
      </c>
    </row>
    <row r="468">
      <c r="A468" s="9" t="s">
        <v>803</v>
      </c>
      <c r="B468" s="10" t="s">
        <v>190</v>
      </c>
      <c r="C468" s="14" t="s">
        <v>191</v>
      </c>
      <c r="D468" s="10"/>
      <c r="E468" s="10" t="s">
        <v>172</v>
      </c>
      <c r="F468" s="116" t="n">
        <v>2.0475</v>
      </c>
      <c r="G468" s="116" t="n">
        <v>0</v>
      </c>
      <c r="H468" s="116">
        <f>F468*AO468</f>
      </c>
      <c r="I468" s="116">
        <f>F468*AP468</f>
      </c>
      <c r="J468" s="116">
        <f>F468*G468</f>
      </c>
      <c r="K468" s="149" t="s">
        <v>159</v>
      </c>
      <c r="Z468" s="116">
        <f>IF(AQ468="5",BJ468,0)</f>
      </c>
      <c r="AB468" s="116">
        <f>IF(AQ468="1",BH468,0)</f>
      </c>
      <c r="AC468" s="116">
        <f>IF(AQ468="1",BI468,0)</f>
      </c>
      <c r="AD468" s="116">
        <f>IF(AQ468="7",BH468,0)</f>
      </c>
      <c r="AE468" s="116">
        <f>IF(AQ468="7",BI468,0)</f>
      </c>
      <c r="AF468" s="116">
        <f>IF(AQ468="2",BH468,0)</f>
      </c>
      <c r="AG468" s="116">
        <f>IF(AQ468="2",BI468,0)</f>
      </c>
      <c r="AH468" s="116">
        <f>IF(AQ468="0",BJ468,0)</f>
      </c>
      <c r="AI468" s="131" t="s">
        <v>113</v>
      </c>
      <c r="AJ468" s="116">
        <f>IF(AN468=0,J468,0)</f>
      </c>
      <c r="AK468" s="116">
        <f>IF(AN468=12,J468,0)</f>
      </c>
      <c r="AL468" s="116">
        <f>IF(AN468=21,J468,0)</f>
      </c>
      <c r="AN468" s="116" t="n">
        <v>21</v>
      </c>
      <c r="AO468" s="116">
        <f>G468*0.481412162</f>
      </c>
      <c r="AP468" s="116">
        <f>G468*(1-0.481412162)</f>
      </c>
      <c r="AQ468" s="150" t="s">
        <v>88</v>
      </c>
      <c r="AV468" s="116">
        <f>AW468+AX468</f>
      </c>
      <c r="AW468" s="116">
        <f>F468*AO468</f>
      </c>
      <c r="AX468" s="116">
        <f>F468*AP468</f>
      </c>
      <c r="AY468" s="150" t="s">
        <v>192</v>
      </c>
      <c r="AZ468" s="150" t="s">
        <v>804</v>
      </c>
      <c r="BA468" s="131" t="s">
        <v>745</v>
      </c>
      <c r="BC468" s="116">
        <f>AW468+AX468</f>
      </c>
      <c r="BD468" s="116">
        <f>G468/(100-BE468)*100</f>
      </c>
      <c r="BE468" s="116" t="n">
        <v>0</v>
      </c>
      <c r="BF468" s="116">
        <f>468</f>
      </c>
      <c r="BH468" s="116">
        <f>F468*AO468</f>
      </c>
      <c r="BI468" s="116">
        <f>F468*AP468</f>
      </c>
      <c r="BJ468" s="116">
        <f>F468*G468</f>
      </c>
      <c r="BK468" s="116"/>
      <c r="BL468" s="116" t="n">
        <v>38</v>
      </c>
      <c r="BW468" s="116" t="n">
        <v>21</v>
      </c>
      <c r="BX468" s="14" t="s">
        <v>191</v>
      </c>
    </row>
    <row r="469" customHeight="true" ht="13.5">
      <c r="A469" s="151"/>
      <c r="C469" s="155" t="s">
        <v>194</v>
      </c>
      <c r="D469" s="152"/>
      <c r="E469" s="152"/>
      <c r="F469" s="152"/>
      <c r="G469" s="152"/>
      <c r="H469" s="152"/>
      <c r="I469" s="152"/>
      <c r="J469" s="152"/>
      <c r="K469" s="156"/>
    </row>
    <row r="470">
      <c r="A470" s="151"/>
      <c r="C470" s="152" t="s">
        <v>805</v>
      </c>
      <c r="D470" s="152" t="s">
        <v>806</v>
      </c>
      <c r="F470" s="153" t="n">
        <v>1.47</v>
      </c>
      <c r="K470" s="154"/>
    </row>
    <row r="471">
      <c r="A471" s="151"/>
      <c r="C471" s="152" t="s">
        <v>807</v>
      </c>
      <c r="D471" s="152" t="s">
        <v>808</v>
      </c>
      <c r="F471" s="153" t="n">
        <v>0.5775</v>
      </c>
      <c r="K471" s="154"/>
    </row>
    <row r="472">
      <c r="A472" s="9" t="s">
        <v>809</v>
      </c>
      <c r="B472" s="10" t="s">
        <v>476</v>
      </c>
      <c r="C472" s="14" t="s">
        <v>477</v>
      </c>
      <c r="D472" s="10"/>
      <c r="E472" s="10" t="s">
        <v>172</v>
      </c>
      <c r="F472" s="116" t="n">
        <v>1.786</v>
      </c>
      <c r="G472" s="116" t="n">
        <v>0</v>
      </c>
      <c r="H472" s="116">
        <f>F472*AO472</f>
      </c>
      <c r="I472" s="116">
        <f>F472*AP472</f>
      </c>
      <c r="J472" s="116">
        <f>F472*G472</f>
      </c>
      <c r="K472" s="149" t="s">
        <v>159</v>
      </c>
      <c r="Z472" s="116">
        <f>IF(AQ472="5",BJ472,0)</f>
      </c>
      <c r="AB472" s="116">
        <f>IF(AQ472="1",BH472,0)</f>
      </c>
      <c r="AC472" s="116">
        <f>IF(AQ472="1",BI472,0)</f>
      </c>
      <c r="AD472" s="116">
        <f>IF(AQ472="7",BH472,0)</f>
      </c>
      <c r="AE472" s="116">
        <f>IF(AQ472="7",BI472,0)</f>
      </c>
      <c r="AF472" s="116">
        <f>IF(AQ472="2",BH472,0)</f>
      </c>
      <c r="AG472" s="116">
        <f>IF(AQ472="2",BI472,0)</f>
      </c>
      <c r="AH472" s="116">
        <f>IF(AQ472="0",BJ472,0)</f>
      </c>
      <c r="AI472" s="131" t="s">
        <v>113</v>
      </c>
      <c r="AJ472" s="116">
        <f>IF(AN472=0,J472,0)</f>
      </c>
      <c r="AK472" s="116">
        <f>IF(AN472=12,J472,0)</f>
      </c>
      <c r="AL472" s="116">
        <f>IF(AN472=21,J472,0)</f>
      </c>
      <c r="AN472" s="116" t="n">
        <v>21</v>
      </c>
      <c r="AO472" s="116">
        <f>G472*0.834523235</f>
      </c>
      <c r="AP472" s="116">
        <f>G472*(1-0.834523235)</f>
      </c>
      <c r="AQ472" s="150" t="s">
        <v>88</v>
      </c>
      <c r="AV472" s="116">
        <f>AW472+AX472</f>
      </c>
      <c r="AW472" s="116">
        <f>F472*AO472</f>
      </c>
      <c r="AX472" s="116">
        <f>F472*AP472</f>
      </c>
      <c r="AY472" s="150" t="s">
        <v>192</v>
      </c>
      <c r="AZ472" s="150" t="s">
        <v>804</v>
      </c>
      <c r="BA472" s="131" t="s">
        <v>745</v>
      </c>
      <c r="BC472" s="116">
        <f>AW472+AX472</f>
      </c>
      <c r="BD472" s="116">
        <f>G472/(100-BE472)*100</f>
      </c>
      <c r="BE472" s="116" t="n">
        <v>0</v>
      </c>
      <c r="BF472" s="116">
        <f>472</f>
      </c>
      <c r="BH472" s="116">
        <f>F472*AO472</f>
      </c>
      <c r="BI472" s="116">
        <f>F472*AP472</f>
      </c>
      <c r="BJ472" s="116">
        <f>F472*G472</f>
      </c>
      <c r="BK472" s="116"/>
      <c r="BL472" s="116" t="n">
        <v>38</v>
      </c>
      <c r="BW472" s="116" t="n">
        <v>21</v>
      </c>
      <c r="BX472" s="14" t="s">
        <v>477</v>
      </c>
    </row>
    <row r="473" customHeight="true" ht="13.5">
      <c r="A473" s="151"/>
      <c r="C473" s="155" t="s">
        <v>479</v>
      </c>
      <c r="D473" s="152"/>
      <c r="E473" s="152"/>
      <c r="F473" s="152"/>
      <c r="G473" s="152"/>
      <c r="H473" s="152"/>
      <c r="I473" s="152"/>
      <c r="J473" s="152"/>
      <c r="K473" s="156"/>
    </row>
    <row r="474">
      <c r="A474" s="151"/>
      <c r="C474" s="152" t="s">
        <v>810</v>
      </c>
      <c r="D474" s="152" t="s">
        <v>756</v>
      </c>
      <c r="F474" s="153" t="n">
        <v>1.786</v>
      </c>
      <c r="K474" s="154"/>
    </row>
    <row r="475">
      <c r="A475" s="9" t="s">
        <v>811</v>
      </c>
      <c r="B475" s="10" t="s">
        <v>485</v>
      </c>
      <c r="C475" s="14" t="s">
        <v>486</v>
      </c>
      <c r="D475" s="10"/>
      <c r="E475" s="10" t="s">
        <v>172</v>
      </c>
      <c r="F475" s="116" t="n">
        <v>0.216</v>
      </c>
      <c r="G475" s="116" t="n">
        <v>0</v>
      </c>
      <c r="H475" s="116">
        <f>F475*AO475</f>
      </c>
      <c r="I475" s="116">
        <f>F475*AP475</f>
      </c>
      <c r="J475" s="116">
        <f>F475*G475</f>
      </c>
      <c r="K475" s="149" t="s">
        <v>159</v>
      </c>
      <c r="Z475" s="116">
        <f>IF(AQ475="5",BJ475,0)</f>
      </c>
      <c r="AB475" s="116">
        <f>IF(AQ475="1",BH475,0)</f>
      </c>
      <c r="AC475" s="116">
        <f>IF(AQ475="1",BI475,0)</f>
      </c>
      <c r="AD475" s="116">
        <f>IF(AQ475="7",BH475,0)</f>
      </c>
      <c r="AE475" s="116">
        <f>IF(AQ475="7",BI475,0)</f>
      </c>
      <c r="AF475" s="116">
        <f>IF(AQ475="2",BH475,0)</f>
      </c>
      <c r="AG475" s="116">
        <f>IF(AQ475="2",BI475,0)</f>
      </c>
      <c r="AH475" s="116">
        <f>IF(AQ475="0",BJ475,0)</f>
      </c>
      <c r="AI475" s="131" t="s">
        <v>113</v>
      </c>
      <c r="AJ475" s="116">
        <f>IF(AN475=0,J475,0)</f>
      </c>
      <c r="AK475" s="116">
        <f>IF(AN475=12,J475,0)</f>
      </c>
      <c r="AL475" s="116">
        <f>IF(AN475=21,J475,0)</f>
      </c>
      <c r="AN475" s="116" t="n">
        <v>21</v>
      </c>
      <c r="AO475" s="116">
        <f>G475*0.709406146</f>
      </c>
      <c r="AP475" s="116">
        <f>G475*(1-0.709406146)</f>
      </c>
      <c r="AQ475" s="150" t="s">
        <v>88</v>
      </c>
      <c r="AV475" s="116">
        <f>AW475+AX475</f>
      </c>
      <c r="AW475" s="116">
        <f>F475*AO475</f>
      </c>
      <c r="AX475" s="116">
        <f>F475*AP475</f>
      </c>
      <c r="AY475" s="150" t="s">
        <v>192</v>
      </c>
      <c r="AZ475" s="150" t="s">
        <v>804</v>
      </c>
      <c r="BA475" s="131" t="s">
        <v>745</v>
      </c>
      <c r="BC475" s="116">
        <f>AW475+AX475</f>
      </c>
      <c r="BD475" s="116">
        <f>G475/(100-BE475)*100</f>
      </c>
      <c r="BE475" s="116" t="n">
        <v>0</v>
      </c>
      <c r="BF475" s="116">
        <f>475</f>
      </c>
      <c r="BH475" s="116">
        <f>F475*AO475</f>
      </c>
      <c r="BI475" s="116">
        <f>F475*AP475</f>
      </c>
      <c r="BJ475" s="116">
        <f>F475*G475</f>
      </c>
      <c r="BK475" s="116"/>
      <c r="BL475" s="116" t="n">
        <v>38</v>
      </c>
      <c r="BW475" s="116" t="n">
        <v>21</v>
      </c>
      <c r="BX475" s="14" t="s">
        <v>486</v>
      </c>
    </row>
    <row r="476" customHeight="true" ht="13.5">
      <c r="A476" s="151"/>
      <c r="C476" s="155" t="s">
        <v>812</v>
      </c>
      <c r="D476" s="152"/>
      <c r="E476" s="152"/>
      <c r="F476" s="152"/>
      <c r="G476" s="152"/>
      <c r="H476" s="152"/>
      <c r="I476" s="152"/>
      <c r="J476" s="152"/>
      <c r="K476" s="156"/>
    </row>
    <row r="477">
      <c r="A477" s="151"/>
      <c r="C477" s="152" t="s">
        <v>813</v>
      </c>
      <c r="D477" s="152" t="s">
        <v>814</v>
      </c>
      <c r="F477" s="153" t="n">
        <v>0.216</v>
      </c>
      <c r="K477" s="154"/>
    </row>
    <row r="478">
      <c r="A478" s="151"/>
      <c r="B478" s="157" t="s">
        <v>177</v>
      </c>
      <c r="C478" s="155" t="s">
        <v>815</v>
      </c>
      <c r="D478" s="152"/>
      <c r="E478" s="152"/>
      <c r="F478" s="152"/>
      <c r="G478" s="152"/>
      <c r="H478" s="152"/>
      <c r="I478" s="152"/>
      <c r="J478" s="152"/>
      <c r="K478" s="156"/>
      <c r="BX478" s="155" t="s">
        <v>815</v>
      </c>
    </row>
    <row r="479">
      <c r="A479" s="144" t="s">
        <v>4</v>
      </c>
      <c r="B479" s="145" t="s">
        <v>391</v>
      </c>
      <c r="C479" s="146" t="s">
        <v>816</v>
      </c>
      <c r="D479" s="145"/>
      <c r="E479" s="147" t="s">
        <v>79</v>
      </c>
      <c r="F479" s="147" t="s">
        <v>79</v>
      </c>
      <c r="G479" s="147" t="s">
        <v>79</v>
      </c>
      <c r="H479" s="123">
        <f>SUM(H480:H480)</f>
      </c>
      <c r="I479" s="123">
        <f>SUM(I480:I480)</f>
      </c>
      <c r="J479" s="123">
        <f>SUM(J480:J480)</f>
      </c>
      <c r="K479" s="148" t="s">
        <v>4</v>
      </c>
      <c r="AI479" s="131" t="s">
        <v>113</v>
      </c>
      <c r="AS479" s="123">
        <f>SUM(AJ480:AJ480)</f>
      </c>
      <c r="AT479" s="123">
        <f>SUM(AK480:AK480)</f>
      </c>
      <c r="AU479" s="123">
        <f>SUM(AL480:AL480)</f>
      </c>
    </row>
    <row r="480">
      <c r="A480" s="9" t="s">
        <v>817</v>
      </c>
      <c r="B480" s="10" t="s">
        <v>818</v>
      </c>
      <c r="C480" s="14" t="s">
        <v>819</v>
      </c>
      <c r="D480" s="10"/>
      <c r="E480" s="10" t="s">
        <v>172</v>
      </c>
      <c r="F480" s="116" t="n">
        <v>0.39</v>
      </c>
      <c r="G480" s="116" t="n">
        <v>0</v>
      </c>
      <c r="H480" s="116">
        <f>F480*AO480</f>
      </c>
      <c r="I480" s="116">
        <f>F480*AP480</f>
      </c>
      <c r="J480" s="116">
        <f>F480*G480</f>
      </c>
      <c r="K480" s="149" t="s">
        <v>159</v>
      </c>
      <c r="Z480" s="116">
        <f>IF(AQ480="5",BJ480,0)</f>
      </c>
      <c r="AB480" s="116">
        <f>IF(AQ480="1",BH480,0)</f>
      </c>
      <c r="AC480" s="116">
        <f>IF(AQ480="1",BI480,0)</f>
      </c>
      <c r="AD480" s="116">
        <f>IF(AQ480="7",BH480,0)</f>
      </c>
      <c r="AE480" s="116">
        <f>IF(AQ480="7",BI480,0)</f>
      </c>
      <c r="AF480" s="116">
        <f>IF(AQ480="2",BH480,0)</f>
      </c>
      <c r="AG480" s="116">
        <f>IF(AQ480="2",BI480,0)</f>
      </c>
      <c r="AH480" s="116">
        <f>IF(AQ480="0",BJ480,0)</f>
      </c>
      <c r="AI480" s="131" t="s">
        <v>113</v>
      </c>
      <c r="AJ480" s="116">
        <f>IF(AN480=0,J480,0)</f>
      </c>
      <c r="AK480" s="116">
        <f>IF(AN480=12,J480,0)</f>
      </c>
      <c r="AL480" s="116">
        <f>IF(AN480=21,J480,0)</f>
      </c>
      <c r="AN480" s="116" t="n">
        <v>21</v>
      </c>
      <c r="AO480" s="116">
        <f>G480*0.504318021</f>
      </c>
      <c r="AP480" s="116">
        <f>G480*(1-0.504318021)</f>
      </c>
      <c r="AQ480" s="150" t="s">
        <v>88</v>
      </c>
      <c r="AV480" s="116">
        <f>AW480+AX480</f>
      </c>
      <c r="AW480" s="116">
        <f>F480*AO480</f>
      </c>
      <c r="AX480" s="116">
        <f>F480*AP480</f>
      </c>
      <c r="AY480" s="150" t="s">
        <v>820</v>
      </c>
      <c r="AZ480" s="150" t="s">
        <v>821</v>
      </c>
      <c r="BA480" s="131" t="s">
        <v>745</v>
      </c>
      <c r="BC480" s="116">
        <f>AW480+AX480</f>
      </c>
      <c r="BD480" s="116">
        <f>G480/(100-BE480)*100</f>
      </c>
      <c r="BE480" s="116" t="n">
        <v>0</v>
      </c>
      <c r="BF480" s="116">
        <f>480</f>
      </c>
      <c r="BH480" s="116">
        <f>F480*AO480</f>
      </c>
      <c r="BI480" s="116">
        <f>F480*AP480</f>
      </c>
      <c r="BJ480" s="116">
        <f>F480*G480</f>
      </c>
      <c r="BK480" s="116"/>
      <c r="BL480" s="116" t="n">
        <v>43</v>
      </c>
      <c r="BW480" s="116" t="n">
        <v>21</v>
      </c>
      <c r="BX480" s="14" t="s">
        <v>819</v>
      </c>
    </row>
    <row r="481" customHeight="true" ht="13.5">
      <c r="A481" s="151"/>
      <c r="C481" s="155" t="s">
        <v>822</v>
      </c>
      <c r="D481" s="152"/>
      <c r="E481" s="152"/>
      <c r="F481" s="152"/>
      <c r="G481" s="152"/>
      <c r="H481" s="152"/>
      <c r="I481" s="152"/>
      <c r="J481" s="152"/>
      <c r="K481" s="156"/>
    </row>
    <row r="482">
      <c r="A482" s="151"/>
      <c r="C482" s="152" t="s">
        <v>823</v>
      </c>
      <c r="D482" s="152" t="s">
        <v>824</v>
      </c>
      <c r="F482" s="153" t="n">
        <v>0.28</v>
      </c>
      <c r="K482" s="154"/>
    </row>
    <row r="483">
      <c r="A483" s="151"/>
      <c r="C483" s="152" t="s">
        <v>825</v>
      </c>
      <c r="D483" s="152" t="s">
        <v>826</v>
      </c>
      <c r="F483" s="153" t="n">
        <v>0.11</v>
      </c>
      <c r="K483" s="154"/>
    </row>
    <row r="484">
      <c r="A484" s="144" t="s">
        <v>4</v>
      </c>
      <c r="B484" s="145" t="s">
        <v>407</v>
      </c>
      <c r="C484" s="146" t="s">
        <v>497</v>
      </c>
      <c r="D484" s="145"/>
      <c r="E484" s="147" t="s">
        <v>79</v>
      </c>
      <c r="F484" s="147" t="s">
        <v>79</v>
      </c>
      <c r="G484" s="147" t="s">
        <v>79</v>
      </c>
      <c r="H484" s="123">
        <f>SUM(H485:H492)</f>
      </c>
      <c r="I484" s="123">
        <f>SUM(I485:I492)</f>
      </c>
      <c r="J484" s="123">
        <f>SUM(J485:J492)</f>
      </c>
      <c r="K484" s="148" t="s">
        <v>4</v>
      </c>
      <c r="AI484" s="131" t="s">
        <v>113</v>
      </c>
      <c r="AS484" s="123">
        <f>SUM(AJ485:AJ492)</f>
      </c>
      <c r="AT484" s="123">
        <f>SUM(AK485:AK492)</f>
      </c>
      <c r="AU484" s="123">
        <f>SUM(AL485:AL492)</f>
      </c>
    </row>
    <row r="485">
      <c r="A485" s="9" t="s">
        <v>827</v>
      </c>
      <c r="B485" s="10" t="s">
        <v>499</v>
      </c>
      <c r="C485" s="14" t="s">
        <v>500</v>
      </c>
      <c r="D485" s="10"/>
      <c r="E485" s="10" t="s">
        <v>172</v>
      </c>
      <c r="F485" s="116" t="n">
        <v>30.95</v>
      </c>
      <c r="G485" s="116" t="n">
        <v>0</v>
      </c>
      <c r="H485" s="116">
        <f>F485*AO485</f>
      </c>
      <c r="I485" s="116">
        <f>F485*AP485</f>
      </c>
      <c r="J485" s="116">
        <f>F485*G485</f>
      </c>
      <c r="K485" s="149" t="s">
        <v>159</v>
      </c>
      <c r="Z485" s="116">
        <f>IF(AQ485="5",BJ485,0)</f>
      </c>
      <c r="AB485" s="116">
        <f>IF(AQ485="1",BH485,0)</f>
      </c>
      <c r="AC485" s="116">
        <f>IF(AQ485="1",BI485,0)</f>
      </c>
      <c r="AD485" s="116">
        <f>IF(AQ485="7",BH485,0)</f>
      </c>
      <c r="AE485" s="116">
        <f>IF(AQ485="7",BI485,0)</f>
      </c>
      <c r="AF485" s="116">
        <f>IF(AQ485="2",BH485,0)</f>
      </c>
      <c r="AG485" s="116">
        <f>IF(AQ485="2",BI485,0)</f>
      </c>
      <c r="AH485" s="116">
        <f>IF(AQ485="0",BJ485,0)</f>
      </c>
      <c r="AI485" s="131" t="s">
        <v>113</v>
      </c>
      <c r="AJ485" s="116">
        <f>IF(AN485=0,J485,0)</f>
      </c>
      <c r="AK485" s="116">
        <f>IF(AN485=12,J485,0)</f>
      </c>
      <c r="AL485" s="116">
        <f>IF(AN485=21,J485,0)</f>
      </c>
      <c r="AN485" s="116" t="n">
        <v>21</v>
      </c>
      <c r="AO485" s="116">
        <f>G485*0.459335112</f>
      </c>
      <c r="AP485" s="116">
        <f>G485*(1-0.459335112)</f>
      </c>
      <c r="AQ485" s="150" t="s">
        <v>88</v>
      </c>
      <c r="AV485" s="116">
        <f>AW485+AX485</f>
      </c>
      <c r="AW485" s="116">
        <f>F485*AO485</f>
      </c>
      <c r="AX485" s="116">
        <f>F485*AP485</f>
      </c>
      <c r="AY485" s="150" t="s">
        <v>501</v>
      </c>
      <c r="AZ485" s="150" t="s">
        <v>821</v>
      </c>
      <c r="BA485" s="131" t="s">
        <v>745</v>
      </c>
      <c r="BC485" s="116">
        <f>AW485+AX485</f>
      </c>
      <c r="BD485" s="116">
        <f>G485/(100-BE485)*100</f>
      </c>
      <c r="BE485" s="116" t="n">
        <v>0</v>
      </c>
      <c r="BF485" s="116">
        <f>485</f>
      </c>
      <c r="BH485" s="116">
        <f>F485*AO485</f>
      </c>
      <c r="BI485" s="116">
        <f>F485*AP485</f>
      </c>
      <c r="BJ485" s="116">
        <f>F485*G485</f>
      </c>
      <c r="BK485" s="116"/>
      <c r="BL485" s="116" t="n">
        <v>45</v>
      </c>
      <c r="BW485" s="116" t="n">
        <v>21</v>
      </c>
      <c r="BX485" s="14" t="s">
        <v>500</v>
      </c>
    </row>
    <row r="486" customHeight="true" ht="13.5">
      <c r="A486" s="151"/>
      <c r="C486" s="155" t="s">
        <v>503</v>
      </c>
      <c r="D486" s="152"/>
      <c r="E486" s="152"/>
      <c r="F486" s="152"/>
      <c r="G486" s="152"/>
      <c r="H486" s="152"/>
      <c r="I486" s="152"/>
      <c r="J486" s="152"/>
      <c r="K486" s="156"/>
    </row>
    <row r="487">
      <c r="A487" s="151"/>
      <c r="C487" s="152" t="s">
        <v>828</v>
      </c>
      <c r="D487" s="152" t="s">
        <v>763</v>
      </c>
      <c r="F487" s="153" t="n">
        <v>12.1</v>
      </c>
      <c r="K487" s="154"/>
    </row>
    <row r="488">
      <c r="A488" s="151"/>
      <c r="C488" s="152" t="s">
        <v>829</v>
      </c>
      <c r="D488" s="152" t="s">
        <v>765</v>
      </c>
      <c r="F488" s="153" t="n">
        <v>12.87</v>
      </c>
      <c r="K488" s="154"/>
    </row>
    <row r="489">
      <c r="A489" s="151"/>
      <c r="C489" s="152" t="s">
        <v>830</v>
      </c>
      <c r="D489" s="152" t="s">
        <v>4</v>
      </c>
      <c r="F489" s="153" t="n">
        <v>5.28</v>
      </c>
      <c r="K489" s="154"/>
    </row>
    <row r="490">
      <c r="A490" s="151"/>
      <c r="C490" s="152" t="s">
        <v>831</v>
      </c>
      <c r="D490" s="152" t="s">
        <v>756</v>
      </c>
      <c r="F490" s="153" t="n">
        <v>0.7</v>
      </c>
      <c r="K490" s="154"/>
    </row>
    <row r="491">
      <c r="A491" s="151"/>
      <c r="B491" s="157" t="s">
        <v>177</v>
      </c>
      <c r="C491" s="155" t="s">
        <v>507</v>
      </c>
      <c r="D491" s="152"/>
      <c r="E491" s="152"/>
      <c r="F491" s="152"/>
      <c r="G491" s="152"/>
      <c r="H491" s="152"/>
      <c r="I491" s="152"/>
      <c r="J491" s="152"/>
      <c r="K491" s="156"/>
      <c r="BX491" s="155" t="s">
        <v>507</v>
      </c>
    </row>
    <row r="492">
      <c r="A492" s="9" t="s">
        <v>832</v>
      </c>
      <c r="B492" s="10" t="s">
        <v>516</v>
      </c>
      <c r="C492" s="14" t="s">
        <v>517</v>
      </c>
      <c r="D492" s="10"/>
      <c r="E492" s="10" t="s">
        <v>172</v>
      </c>
      <c r="F492" s="116" t="n">
        <v>0.7</v>
      </c>
      <c r="G492" s="116" t="n">
        <v>0</v>
      </c>
      <c r="H492" s="116">
        <f>F492*AO492</f>
      </c>
      <c r="I492" s="116">
        <f>F492*AP492</f>
      </c>
      <c r="J492" s="116">
        <f>F492*G492</f>
      </c>
      <c r="K492" s="149" t="s">
        <v>159</v>
      </c>
      <c r="Z492" s="116">
        <f>IF(AQ492="5",BJ492,0)</f>
      </c>
      <c r="AB492" s="116">
        <f>IF(AQ492="1",BH492,0)</f>
      </c>
      <c r="AC492" s="116">
        <f>IF(AQ492="1",BI492,0)</f>
      </c>
      <c r="AD492" s="116">
        <f>IF(AQ492="7",BH492,0)</f>
      </c>
      <c r="AE492" s="116">
        <f>IF(AQ492="7",BI492,0)</f>
      </c>
      <c r="AF492" s="116">
        <f>IF(AQ492="2",BH492,0)</f>
      </c>
      <c r="AG492" s="116">
        <f>IF(AQ492="2",BI492,0)</f>
      </c>
      <c r="AH492" s="116">
        <f>IF(AQ492="0",BJ492,0)</f>
      </c>
      <c r="AI492" s="131" t="s">
        <v>113</v>
      </c>
      <c r="AJ492" s="116">
        <f>IF(AN492=0,J492,0)</f>
      </c>
      <c r="AK492" s="116">
        <f>IF(AN492=12,J492,0)</f>
      </c>
      <c r="AL492" s="116">
        <f>IF(AN492=21,J492,0)</f>
      </c>
      <c r="AN492" s="116" t="n">
        <v>21</v>
      </c>
      <c r="AO492" s="116">
        <f>G492*0.841690722</f>
      </c>
      <c r="AP492" s="116">
        <f>G492*(1-0.841690722)</f>
      </c>
      <c r="AQ492" s="150" t="s">
        <v>88</v>
      </c>
      <c r="AV492" s="116">
        <f>AW492+AX492</f>
      </c>
      <c r="AW492" s="116">
        <f>F492*AO492</f>
      </c>
      <c r="AX492" s="116">
        <f>F492*AP492</f>
      </c>
      <c r="AY492" s="150" t="s">
        <v>501</v>
      </c>
      <c r="AZ492" s="150" t="s">
        <v>821</v>
      </c>
      <c r="BA492" s="131" t="s">
        <v>745</v>
      </c>
      <c r="BC492" s="116">
        <f>AW492+AX492</f>
      </c>
      <c r="BD492" s="116">
        <f>G492/(100-BE492)*100</f>
      </c>
      <c r="BE492" s="116" t="n">
        <v>0</v>
      </c>
      <c r="BF492" s="116">
        <f>492</f>
      </c>
      <c r="BH492" s="116">
        <f>F492*AO492</f>
      </c>
      <c r="BI492" s="116">
        <f>F492*AP492</f>
      </c>
      <c r="BJ492" s="116">
        <f>F492*G492</f>
      </c>
      <c r="BK492" s="116"/>
      <c r="BL492" s="116" t="n">
        <v>45</v>
      </c>
      <c r="BW492" s="116" t="n">
        <v>21</v>
      </c>
      <c r="BX492" s="14" t="s">
        <v>517</v>
      </c>
    </row>
    <row r="493">
      <c r="A493" s="151"/>
      <c r="C493" s="152" t="s">
        <v>831</v>
      </c>
      <c r="D493" s="152" t="s">
        <v>756</v>
      </c>
      <c r="F493" s="153" t="n">
        <v>0.7</v>
      </c>
      <c r="K493" s="154"/>
    </row>
    <row r="494">
      <c r="A494" s="151"/>
      <c r="B494" s="157" t="s">
        <v>177</v>
      </c>
      <c r="C494" s="155" t="s">
        <v>519</v>
      </c>
      <c r="D494" s="152"/>
      <c r="E494" s="152"/>
      <c r="F494" s="152"/>
      <c r="G494" s="152"/>
      <c r="H494" s="152"/>
      <c r="I494" s="152"/>
      <c r="J494" s="152"/>
      <c r="K494" s="156"/>
      <c r="BX494" s="155" t="s">
        <v>519</v>
      </c>
    </row>
    <row r="495">
      <c r="A495" s="144" t="s">
        <v>4</v>
      </c>
      <c r="B495" s="145" t="s">
        <v>833</v>
      </c>
      <c r="C495" s="146" t="s">
        <v>834</v>
      </c>
      <c r="D495" s="145"/>
      <c r="E495" s="147" t="s">
        <v>79</v>
      </c>
      <c r="F495" s="147" t="s">
        <v>79</v>
      </c>
      <c r="G495" s="147" t="s">
        <v>79</v>
      </c>
      <c r="H495" s="123">
        <f>SUM(H496:H496)</f>
      </c>
      <c r="I495" s="123">
        <f>SUM(I496:I496)</f>
      </c>
      <c r="J495" s="123">
        <f>SUM(J496:J496)</f>
      </c>
      <c r="K495" s="148" t="s">
        <v>4</v>
      </c>
      <c r="AI495" s="131" t="s">
        <v>113</v>
      </c>
      <c r="AS495" s="123">
        <f>SUM(AJ496:AJ496)</f>
      </c>
      <c r="AT495" s="123">
        <f>SUM(AK496:AK496)</f>
      </c>
      <c r="AU495" s="123">
        <f>SUM(AL496:AL496)</f>
      </c>
    </row>
    <row r="496">
      <c r="A496" s="9" t="s">
        <v>835</v>
      </c>
      <c r="B496" s="10" t="s">
        <v>836</v>
      </c>
      <c r="C496" s="14" t="s">
        <v>837</v>
      </c>
      <c r="D496" s="10"/>
      <c r="E496" s="10" t="s">
        <v>838</v>
      </c>
      <c r="F496" s="116" t="n">
        <v>1</v>
      </c>
      <c r="G496" s="116" t="n">
        <v>0</v>
      </c>
      <c r="H496" s="116">
        <f>F496*AO496</f>
      </c>
      <c r="I496" s="116">
        <f>F496*AP496</f>
      </c>
      <c r="J496" s="116">
        <f>F496*G496</f>
      </c>
      <c r="K496" s="149" t="s">
        <v>159</v>
      </c>
      <c r="Z496" s="116">
        <f>IF(AQ496="5",BJ496,0)</f>
      </c>
      <c r="AB496" s="116">
        <f>IF(AQ496="1",BH496,0)</f>
      </c>
      <c r="AC496" s="116">
        <f>IF(AQ496="1",BI496,0)</f>
      </c>
      <c r="AD496" s="116">
        <f>IF(AQ496="7",BH496,0)</f>
      </c>
      <c r="AE496" s="116">
        <f>IF(AQ496="7",BI496,0)</f>
      </c>
      <c r="AF496" s="116">
        <f>IF(AQ496="2",BH496,0)</f>
      </c>
      <c r="AG496" s="116">
        <f>IF(AQ496="2",BI496,0)</f>
      </c>
      <c r="AH496" s="116">
        <f>IF(AQ496="0",BJ496,0)</f>
      </c>
      <c r="AI496" s="131" t="s">
        <v>113</v>
      </c>
      <c r="AJ496" s="116">
        <f>IF(AN496=0,J496,0)</f>
      </c>
      <c r="AK496" s="116">
        <f>IF(AN496=12,J496,0)</f>
      </c>
      <c r="AL496" s="116">
        <f>IF(AN496=21,J496,0)</f>
      </c>
      <c r="AN496" s="116" t="n">
        <v>21</v>
      </c>
      <c r="AO496" s="116">
        <f>G496*0.916811594</f>
      </c>
      <c r="AP496" s="116">
        <f>G496*(1-0.916811594)</f>
      </c>
      <c r="AQ496" s="150" t="s">
        <v>199</v>
      </c>
      <c r="AV496" s="116">
        <f>AW496+AX496</f>
      </c>
      <c r="AW496" s="116">
        <f>F496*AO496</f>
      </c>
      <c r="AX496" s="116">
        <f>F496*AP496</f>
      </c>
      <c r="AY496" s="150" t="s">
        <v>839</v>
      </c>
      <c r="AZ496" s="150" t="s">
        <v>840</v>
      </c>
      <c r="BA496" s="131" t="s">
        <v>745</v>
      </c>
      <c r="BC496" s="116">
        <f>AW496+AX496</f>
      </c>
      <c r="BD496" s="116">
        <f>G496/(100-BE496)*100</f>
      </c>
      <c r="BE496" s="116" t="n">
        <v>0</v>
      </c>
      <c r="BF496" s="116">
        <f>496</f>
      </c>
      <c r="BH496" s="116">
        <f>F496*AO496</f>
      </c>
      <c r="BI496" s="116">
        <f>F496*AP496</f>
      </c>
      <c r="BJ496" s="116">
        <f>F496*G496</f>
      </c>
      <c r="BK496" s="116"/>
      <c r="BL496" s="116" t="n">
        <v>732</v>
      </c>
      <c r="BW496" s="116" t="n">
        <v>21</v>
      </c>
      <c r="BX496" s="14" t="s">
        <v>837</v>
      </c>
    </row>
    <row r="497" customHeight="true" ht="13.5">
      <c r="A497" s="151"/>
      <c r="C497" s="155" t="s">
        <v>841</v>
      </c>
      <c r="D497" s="152"/>
      <c r="E497" s="152"/>
      <c r="F497" s="152"/>
      <c r="G497" s="152"/>
      <c r="H497" s="152"/>
      <c r="I497" s="152"/>
      <c r="J497" s="152"/>
      <c r="K497" s="156"/>
    </row>
    <row r="498">
      <c r="A498" s="151"/>
      <c r="C498" s="152" t="s">
        <v>88</v>
      </c>
      <c r="D498" s="152" t="s">
        <v>4</v>
      </c>
      <c r="F498" s="153" t="n">
        <v>1</v>
      </c>
      <c r="K498" s="154"/>
    </row>
    <row r="499">
      <c r="A499" s="144" t="s">
        <v>4</v>
      </c>
      <c r="B499" s="145" t="s">
        <v>553</v>
      </c>
      <c r="C499" s="146" t="s">
        <v>554</v>
      </c>
      <c r="D499" s="145"/>
      <c r="E499" s="147" t="s">
        <v>79</v>
      </c>
      <c r="F499" s="147" t="s">
        <v>79</v>
      </c>
      <c r="G499" s="147" t="s">
        <v>79</v>
      </c>
      <c r="H499" s="123">
        <f>SUM(H500:H504)</f>
      </c>
      <c r="I499" s="123">
        <f>SUM(I500:I504)</f>
      </c>
      <c r="J499" s="123">
        <f>SUM(J500:J504)</f>
      </c>
      <c r="K499" s="148" t="s">
        <v>4</v>
      </c>
      <c r="AI499" s="131" t="s">
        <v>113</v>
      </c>
      <c r="AS499" s="123">
        <f>SUM(AJ500:AJ504)</f>
      </c>
      <c r="AT499" s="123">
        <f>SUM(AK500:AK504)</f>
      </c>
      <c r="AU499" s="123">
        <f>SUM(AL500:AL504)</f>
      </c>
    </row>
    <row r="500">
      <c r="A500" s="9" t="s">
        <v>842</v>
      </c>
      <c r="B500" s="10" t="s">
        <v>843</v>
      </c>
      <c r="C500" s="14" t="s">
        <v>844</v>
      </c>
      <c r="D500" s="10"/>
      <c r="E500" s="10" t="s">
        <v>216</v>
      </c>
      <c r="F500" s="116" t="n">
        <v>299</v>
      </c>
      <c r="G500" s="116" t="n">
        <v>0</v>
      </c>
      <c r="H500" s="116">
        <f>F500*AO500</f>
      </c>
      <c r="I500" s="116">
        <f>F500*AP500</f>
      </c>
      <c r="J500" s="116">
        <f>F500*G500</f>
      </c>
      <c r="K500" s="149" t="s">
        <v>159</v>
      </c>
      <c r="Z500" s="116">
        <f>IF(AQ500="5",BJ500,0)</f>
      </c>
      <c r="AB500" s="116">
        <f>IF(AQ500="1",BH500,0)</f>
      </c>
      <c r="AC500" s="116">
        <f>IF(AQ500="1",BI500,0)</f>
      </c>
      <c r="AD500" s="116">
        <f>IF(AQ500="7",BH500,0)</f>
      </c>
      <c r="AE500" s="116">
        <f>IF(AQ500="7",BI500,0)</f>
      </c>
      <c r="AF500" s="116">
        <f>IF(AQ500="2",BH500,0)</f>
      </c>
      <c r="AG500" s="116">
        <f>IF(AQ500="2",BI500,0)</f>
      </c>
      <c r="AH500" s="116">
        <f>IF(AQ500="0",BJ500,0)</f>
      </c>
      <c r="AI500" s="131" t="s">
        <v>113</v>
      </c>
      <c r="AJ500" s="116">
        <f>IF(AN500=0,J500,0)</f>
      </c>
      <c r="AK500" s="116">
        <f>IF(AN500=12,J500,0)</f>
      </c>
      <c r="AL500" s="116">
        <f>IF(AN500=21,J500,0)</f>
      </c>
      <c r="AN500" s="116" t="n">
        <v>21</v>
      </c>
      <c r="AO500" s="116">
        <f>G500*0</f>
      </c>
      <c r="AP500" s="116">
        <f>G500*(1-0)</f>
      </c>
      <c r="AQ500" s="150" t="s">
        <v>88</v>
      </c>
      <c r="AV500" s="116">
        <f>AW500+AX500</f>
      </c>
      <c r="AW500" s="116">
        <f>F500*AO500</f>
      </c>
      <c r="AX500" s="116">
        <f>F500*AP500</f>
      </c>
      <c r="AY500" s="150" t="s">
        <v>558</v>
      </c>
      <c r="AZ500" s="150" t="s">
        <v>845</v>
      </c>
      <c r="BA500" s="131" t="s">
        <v>745</v>
      </c>
      <c r="BC500" s="116">
        <f>AW500+AX500</f>
      </c>
      <c r="BD500" s="116">
        <f>G500/(100-BE500)*100</f>
      </c>
      <c r="BE500" s="116" t="n">
        <v>0</v>
      </c>
      <c r="BF500" s="116">
        <f>500</f>
      </c>
      <c r="BH500" s="116">
        <f>F500*AO500</f>
      </c>
      <c r="BI500" s="116">
        <f>F500*AP500</f>
      </c>
      <c r="BJ500" s="116">
        <f>F500*G500</f>
      </c>
      <c r="BK500" s="116"/>
      <c r="BL500" s="116" t="n">
        <v>87</v>
      </c>
      <c r="BW500" s="116" t="n">
        <v>21</v>
      </c>
      <c r="BX500" s="14" t="s">
        <v>844</v>
      </c>
    </row>
    <row r="501">
      <c r="A501" s="151"/>
      <c r="C501" s="152" t="s">
        <v>846</v>
      </c>
      <c r="D501" s="152" t="s">
        <v>763</v>
      </c>
      <c r="F501" s="153" t="n">
        <v>115</v>
      </c>
      <c r="K501" s="154"/>
    </row>
    <row r="502">
      <c r="A502" s="151"/>
      <c r="C502" s="152" t="s">
        <v>847</v>
      </c>
      <c r="D502" s="152" t="s">
        <v>765</v>
      </c>
      <c r="F502" s="153" t="n">
        <v>184</v>
      </c>
      <c r="K502" s="154"/>
    </row>
    <row r="503" ht="24.75">
      <c r="A503" s="151"/>
      <c r="B503" s="157" t="s">
        <v>177</v>
      </c>
      <c r="C503" s="155" t="s">
        <v>848</v>
      </c>
      <c r="D503" s="152"/>
      <c r="E503" s="152"/>
      <c r="F503" s="152"/>
      <c r="G503" s="152"/>
      <c r="H503" s="152"/>
      <c r="I503" s="152"/>
      <c r="J503" s="152"/>
      <c r="K503" s="156"/>
      <c r="BX503" s="155" t="s">
        <v>848</v>
      </c>
    </row>
    <row r="504">
      <c r="A504" s="9" t="s">
        <v>849</v>
      </c>
      <c r="B504" s="10" t="s">
        <v>850</v>
      </c>
      <c r="C504" s="14" t="s">
        <v>851</v>
      </c>
      <c r="D504" s="10"/>
      <c r="E504" s="10" t="s">
        <v>463</v>
      </c>
      <c r="F504" s="116" t="n">
        <v>74</v>
      </c>
      <c r="G504" s="116" t="n">
        <v>0</v>
      </c>
      <c r="H504" s="116">
        <f>F504*AO504</f>
      </c>
      <c r="I504" s="116">
        <f>F504*AP504</f>
      </c>
      <c r="J504" s="116">
        <f>F504*G504</f>
      </c>
      <c r="K504" s="149" t="s">
        <v>159</v>
      </c>
      <c r="Z504" s="116">
        <f>IF(AQ504="5",BJ504,0)</f>
      </c>
      <c r="AB504" s="116">
        <f>IF(AQ504="1",BH504,0)</f>
      </c>
      <c r="AC504" s="116">
        <f>IF(AQ504="1",BI504,0)</f>
      </c>
      <c r="AD504" s="116">
        <f>IF(AQ504="7",BH504,0)</f>
      </c>
      <c r="AE504" s="116">
        <f>IF(AQ504="7",BI504,0)</f>
      </c>
      <c r="AF504" s="116">
        <f>IF(AQ504="2",BH504,0)</f>
      </c>
      <c r="AG504" s="116">
        <f>IF(AQ504="2",BI504,0)</f>
      </c>
      <c r="AH504" s="116">
        <f>IF(AQ504="0",BJ504,0)</f>
      </c>
      <c r="AI504" s="131" t="s">
        <v>113</v>
      </c>
      <c r="AJ504" s="116">
        <f>IF(AN504=0,J504,0)</f>
      </c>
      <c r="AK504" s="116">
        <f>IF(AN504=12,J504,0)</f>
      </c>
      <c r="AL504" s="116">
        <f>IF(AN504=21,J504,0)</f>
      </c>
      <c r="AN504" s="116" t="n">
        <v>21</v>
      </c>
      <c r="AO504" s="116">
        <f>G504*0</f>
      </c>
      <c r="AP504" s="116">
        <f>G504*(1-0)</f>
      </c>
      <c r="AQ504" s="150" t="s">
        <v>88</v>
      </c>
      <c r="AV504" s="116">
        <f>AW504+AX504</f>
      </c>
      <c r="AW504" s="116">
        <f>F504*AO504</f>
      </c>
      <c r="AX504" s="116">
        <f>F504*AP504</f>
      </c>
      <c r="AY504" s="150" t="s">
        <v>558</v>
      </c>
      <c r="AZ504" s="150" t="s">
        <v>845</v>
      </c>
      <c r="BA504" s="131" t="s">
        <v>745</v>
      </c>
      <c r="BC504" s="116">
        <f>AW504+AX504</f>
      </c>
      <c r="BD504" s="116">
        <f>G504/(100-BE504)*100</f>
      </c>
      <c r="BE504" s="116" t="n">
        <v>0</v>
      </c>
      <c r="BF504" s="116">
        <f>504</f>
      </c>
      <c r="BH504" s="116">
        <f>F504*AO504</f>
      </c>
      <c r="BI504" s="116">
        <f>F504*AP504</f>
      </c>
      <c r="BJ504" s="116">
        <f>F504*G504</f>
      </c>
      <c r="BK504" s="116"/>
      <c r="BL504" s="116" t="n">
        <v>87</v>
      </c>
      <c r="BW504" s="116" t="n">
        <v>21</v>
      </c>
      <c r="BX504" s="14" t="s">
        <v>851</v>
      </c>
    </row>
    <row r="505">
      <c r="A505" s="151"/>
      <c r="C505" s="152" t="s">
        <v>852</v>
      </c>
      <c r="D505" s="152" t="s">
        <v>763</v>
      </c>
      <c r="F505" s="153" t="n">
        <v>18</v>
      </c>
      <c r="K505" s="154"/>
    </row>
    <row r="506">
      <c r="A506" s="151"/>
      <c r="C506" s="152" t="s">
        <v>853</v>
      </c>
      <c r="D506" s="152" t="s">
        <v>765</v>
      </c>
      <c r="F506" s="153" t="n">
        <v>56</v>
      </c>
      <c r="K506" s="154"/>
    </row>
    <row r="507" ht="24.75">
      <c r="A507" s="151"/>
      <c r="B507" s="157" t="s">
        <v>177</v>
      </c>
      <c r="C507" s="155" t="s">
        <v>854</v>
      </c>
      <c r="D507" s="152"/>
      <c r="E507" s="152"/>
      <c r="F507" s="152"/>
      <c r="G507" s="152"/>
      <c r="H507" s="152"/>
      <c r="I507" s="152"/>
      <c r="J507" s="152"/>
      <c r="K507" s="156"/>
      <c r="BX507" s="155" t="s">
        <v>854</v>
      </c>
    </row>
    <row r="508">
      <c r="A508" s="144" t="s">
        <v>4</v>
      </c>
      <c r="B508" s="145" t="s">
        <v>579</v>
      </c>
      <c r="C508" s="146" t="s">
        <v>580</v>
      </c>
      <c r="D508" s="145"/>
      <c r="E508" s="147" t="s">
        <v>79</v>
      </c>
      <c r="F508" s="147" t="s">
        <v>79</v>
      </c>
      <c r="G508" s="147" t="s">
        <v>79</v>
      </c>
      <c r="H508" s="123">
        <f>SUM(H509:H528)</f>
      </c>
      <c r="I508" s="123">
        <f>SUM(I509:I528)</f>
      </c>
      <c r="J508" s="123">
        <f>SUM(J509:J528)</f>
      </c>
      <c r="K508" s="148" t="s">
        <v>4</v>
      </c>
      <c r="AI508" s="131" t="s">
        <v>113</v>
      </c>
      <c r="AS508" s="123">
        <f>SUM(AJ509:AJ528)</f>
      </c>
      <c r="AT508" s="123">
        <f>SUM(AK509:AK528)</f>
      </c>
      <c r="AU508" s="123">
        <f>SUM(AL509:AL528)</f>
      </c>
    </row>
    <row r="509">
      <c r="A509" s="9" t="s">
        <v>855</v>
      </c>
      <c r="B509" s="10" t="s">
        <v>856</v>
      </c>
      <c r="C509" s="14" t="s">
        <v>857</v>
      </c>
      <c r="D509" s="10"/>
      <c r="E509" s="10" t="s">
        <v>463</v>
      </c>
      <c r="F509" s="116" t="n">
        <v>2</v>
      </c>
      <c r="G509" s="116" t="n">
        <v>0</v>
      </c>
      <c r="H509" s="116">
        <f>F509*AO509</f>
      </c>
      <c r="I509" s="116">
        <f>F509*AP509</f>
      </c>
      <c r="J509" s="116">
        <f>F509*G509</f>
      </c>
      <c r="K509" s="149" t="s">
        <v>159</v>
      </c>
      <c r="Z509" s="116">
        <f>IF(AQ509="5",BJ509,0)</f>
      </c>
      <c r="AB509" s="116">
        <f>IF(AQ509="1",BH509,0)</f>
      </c>
      <c r="AC509" s="116">
        <f>IF(AQ509="1",BI509,0)</f>
      </c>
      <c r="AD509" s="116">
        <f>IF(AQ509="7",BH509,0)</f>
      </c>
      <c r="AE509" s="116">
        <f>IF(AQ509="7",BI509,0)</f>
      </c>
      <c r="AF509" s="116">
        <f>IF(AQ509="2",BH509,0)</f>
      </c>
      <c r="AG509" s="116">
        <f>IF(AQ509="2",BI509,0)</f>
      </c>
      <c r="AH509" s="116">
        <f>IF(AQ509="0",BJ509,0)</f>
      </c>
      <c r="AI509" s="131" t="s">
        <v>113</v>
      </c>
      <c r="AJ509" s="116">
        <f>IF(AN509=0,J509,0)</f>
      </c>
      <c r="AK509" s="116">
        <f>IF(AN509=12,J509,0)</f>
      </c>
      <c r="AL509" s="116">
        <f>IF(AN509=21,J509,0)</f>
      </c>
      <c r="AN509" s="116" t="n">
        <v>21</v>
      </c>
      <c r="AO509" s="116">
        <f>G509*0.017425743</f>
      </c>
      <c r="AP509" s="116">
        <f>G509*(1-0.017425743)</f>
      </c>
      <c r="AQ509" s="150" t="s">
        <v>88</v>
      </c>
      <c r="AV509" s="116">
        <f>AW509+AX509</f>
      </c>
      <c r="AW509" s="116">
        <f>F509*AO509</f>
      </c>
      <c r="AX509" s="116">
        <f>F509*AP509</f>
      </c>
      <c r="AY509" s="150" t="s">
        <v>583</v>
      </c>
      <c r="AZ509" s="150" t="s">
        <v>845</v>
      </c>
      <c r="BA509" s="131" t="s">
        <v>745</v>
      </c>
      <c r="BC509" s="116">
        <f>AW509+AX509</f>
      </c>
      <c r="BD509" s="116">
        <f>G509/(100-BE509)*100</f>
      </c>
      <c r="BE509" s="116" t="n">
        <v>0</v>
      </c>
      <c r="BF509" s="116">
        <f>509</f>
      </c>
      <c r="BH509" s="116">
        <f>F509*AO509</f>
      </c>
      <c r="BI509" s="116">
        <f>F509*AP509</f>
      </c>
      <c r="BJ509" s="116">
        <f>F509*G509</f>
      </c>
      <c r="BK509" s="116"/>
      <c r="BL509" s="116" t="n">
        <v>89</v>
      </c>
      <c r="BW509" s="116" t="n">
        <v>21</v>
      </c>
      <c r="BX509" s="14" t="s">
        <v>857</v>
      </c>
    </row>
    <row r="510">
      <c r="A510" s="151"/>
      <c r="C510" s="152" t="s">
        <v>104</v>
      </c>
      <c r="D510" s="152" t="s">
        <v>4</v>
      </c>
      <c r="F510" s="153" t="n">
        <v>2</v>
      </c>
      <c r="K510" s="154"/>
    </row>
    <row r="511" ht="36.75">
      <c r="A511" s="151"/>
      <c r="B511" s="157" t="s">
        <v>177</v>
      </c>
      <c r="C511" s="155" t="s">
        <v>858</v>
      </c>
      <c r="D511" s="152"/>
      <c r="E511" s="152"/>
      <c r="F511" s="152"/>
      <c r="G511" s="152"/>
      <c r="H511" s="152"/>
      <c r="I511" s="152"/>
      <c r="J511" s="152"/>
      <c r="K511" s="156"/>
      <c r="BX511" s="155" t="s">
        <v>858</v>
      </c>
    </row>
    <row r="512">
      <c r="A512" s="9" t="s">
        <v>859</v>
      </c>
      <c r="B512" s="10" t="s">
        <v>860</v>
      </c>
      <c r="C512" s="14" t="s">
        <v>861</v>
      </c>
      <c r="D512" s="10"/>
      <c r="E512" s="10" t="s">
        <v>216</v>
      </c>
      <c r="F512" s="116" t="n">
        <v>299</v>
      </c>
      <c r="G512" s="116" t="n">
        <v>0</v>
      </c>
      <c r="H512" s="116">
        <f>F512*AO512</f>
      </c>
      <c r="I512" s="116">
        <f>F512*AP512</f>
      </c>
      <c r="J512" s="116">
        <f>F512*G512</f>
      </c>
      <c r="K512" s="149" t="s">
        <v>159</v>
      </c>
      <c r="Z512" s="116">
        <f>IF(AQ512="5",BJ512,0)</f>
      </c>
      <c r="AB512" s="116">
        <f>IF(AQ512="1",BH512,0)</f>
      </c>
      <c r="AC512" s="116">
        <f>IF(AQ512="1",BI512,0)</f>
      </c>
      <c r="AD512" s="116">
        <f>IF(AQ512="7",BH512,0)</f>
      </c>
      <c r="AE512" s="116">
        <f>IF(AQ512="7",BI512,0)</f>
      </c>
      <c r="AF512" s="116">
        <f>IF(AQ512="2",BH512,0)</f>
      </c>
      <c r="AG512" s="116">
        <f>IF(AQ512="2",BI512,0)</f>
      </c>
      <c r="AH512" s="116">
        <f>IF(AQ512="0",BJ512,0)</f>
      </c>
      <c r="AI512" s="131" t="s">
        <v>113</v>
      </c>
      <c r="AJ512" s="116">
        <f>IF(AN512=0,J512,0)</f>
      </c>
      <c r="AK512" s="116">
        <f>IF(AN512=12,J512,0)</f>
      </c>
      <c r="AL512" s="116">
        <f>IF(AN512=21,J512,0)</f>
      </c>
      <c r="AN512" s="116" t="n">
        <v>21</v>
      </c>
      <c r="AO512" s="116">
        <f>G512*0.024710425</f>
      </c>
      <c r="AP512" s="116">
        <f>G512*(1-0.024710425)</f>
      </c>
      <c r="AQ512" s="150" t="s">
        <v>88</v>
      </c>
      <c r="AV512" s="116">
        <f>AW512+AX512</f>
      </c>
      <c r="AW512" s="116">
        <f>F512*AO512</f>
      </c>
      <c r="AX512" s="116">
        <f>F512*AP512</f>
      </c>
      <c r="AY512" s="150" t="s">
        <v>583</v>
      </c>
      <c r="AZ512" s="150" t="s">
        <v>845</v>
      </c>
      <c r="BA512" s="131" t="s">
        <v>745</v>
      </c>
      <c r="BC512" s="116">
        <f>AW512+AX512</f>
      </c>
      <c r="BD512" s="116">
        <f>G512/(100-BE512)*100</f>
      </c>
      <c r="BE512" s="116" t="n">
        <v>0</v>
      </c>
      <c r="BF512" s="116">
        <f>512</f>
      </c>
      <c r="BH512" s="116">
        <f>F512*AO512</f>
      </c>
      <c r="BI512" s="116">
        <f>F512*AP512</f>
      </c>
      <c r="BJ512" s="116">
        <f>F512*G512</f>
      </c>
      <c r="BK512" s="116"/>
      <c r="BL512" s="116" t="n">
        <v>89</v>
      </c>
      <c r="BW512" s="116" t="n">
        <v>21</v>
      </c>
      <c r="BX512" s="14" t="s">
        <v>861</v>
      </c>
    </row>
    <row r="513">
      <c r="A513" s="151"/>
      <c r="C513" s="152" t="s">
        <v>862</v>
      </c>
      <c r="D513" s="152" t="s">
        <v>4</v>
      </c>
      <c r="F513" s="153" t="n">
        <v>299</v>
      </c>
      <c r="K513" s="154"/>
    </row>
    <row r="514">
      <c r="A514" s="151"/>
      <c r="B514" s="157" t="s">
        <v>177</v>
      </c>
      <c r="C514" s="155" t="s">
        <v>863</v>
      </c>
      <c r="D514" s="152"/>
      <c r="E514" s="152"/>
      <c r="F514" s="152"/>
      <c r="G514" s="152"/>
      <c r="H514" s="152"/>
      <c r="I514" s="152"/>
      <c r="J514" s="152"/>
      <c r="K514" s="156"/>
      <c r="BX514" s="155" t="s">
        <v>863</v>
      </c>
    </row>
    <row r="515">
      <c r="A515" s="9" t="s">
        <v>864</v>
      </c>
      <c r="B515" s="10" t="s">
        <v>865</v>
      </c>
      <c r="C515" s="14" t="s">
        <v>866</v>
      </c>
      <c r="D515" s="10"/>
      <c r="E515" s="10" t="s">
        <v>216</v>
      </c>
      <c r="F515" s="116" t="n">
        <v>299</v>
      </c>
      <c r="G515" s="116" t="n">
        <v>0</v>
      </c>
      <c r="H515" s="116">
        <f>F515*AO515</f>
      </c>
      <c r="I515" s="116">
        <f>F515*AP515</f>
      </c>
      <c r="J515" s="116">
        <f>F515*G515</f>
      </c>
      <c r="K515" s="149" t="s">
        <v>159</v>
      </c>
      <c r="Z515" s="116">
        <f>IF(AQ515="5",BJ515,0)</f>
      </c>
      <c r="AB515" s="116">
        <f>IF(AQ515="1",BH515,0)</f>
      </c>
      <c r="AC515" s="116">
        <f>IF(AQ515="1",BI515,0)</f>
      </c>
      <c r="AD515" s="116">
        <f>IF(AQ515="7",BH515,0)</f>
      </c>
      <c r="AE515" s="116">
        <f>IF(AQ515="7",BI515,0)</f>
      </c>
      <c r="AF515" s="116">
        <f>IF(AQ515="2",BH515,0)</f>
      </c>
      <c r="AG515" s="116">
        <f>IF(AQ515="2",BI515,0)</f>
      </c>
      <c r="AH515" s="116">
        <f>IF(AQ515="0",BJ515,0)</f>
      </c>
      <c r="AI515" s="131" t="s">
        <v>113</v>
      </c>
      <c r="AJ515" s="116">
        <f>IF(AN515=0,J515,0)</f>
      </c>
      <c r="AK515" s="116">
        <f>IF(AN515=12,J515,0)</f>
      </c>
      <c r="AL515" s="116">
        <f>IF(AN515=21,J515,0)</f>
      </c>
      <c r="AN515" s="116" t="n">
        <v>21</v>
      </c>
      <c r="AO515" s="116">
        <f>G515*0.02512</f>
      </c>
      <c r="AP515" s="116">
        <f>G515*(1-0.02512)</f>
      </c>
      <c r="AQ515" s="150" t="s">
        <v>88</v>
      </c>
      <c r="AV515" s="116">
        <f>AW515+AX515</f>
      </c>
      <c r="AW515" s="116">
        <f>F515*AO515</f>
      </c>
      <c r="AX515" s="116">
        <f>F515*AP515</f>
      </c>
      <c r="AY515" s="150" t="s">
        <v>583</v>
      </c>
      <c r="AZ515" s="150" t="s">
        <v>845</v>
      </c>
      <c r="BA515" s="131" t="s">
        <v>745</v>
      </c>
      <c r="BC515" s="116">
        <f>AW515+AX515</f>
      </c>
      <c r="BD515" s="116">
        <f>G515/(100-BE515)*100</f>
      </c>
      <c r="BE515" s="116" t="n">
        <v>0</v>
      </c>
      <c r="BF515" s="116">
        <f>515</f>
      </c>
      <c r="BH515" s="116">
        <f>F515*AO515</f>
      </c>
      <c r="BI515" s="116">
        <f>F515*AP515</f>
      </c>
      <c r="BJ515" s="116">
        <f>F515*G515</f>
      </c>
      <c r="BK515" s="116"/>
      <c r="BL515" s="116" t="n">
        <v>89</v>
      </c>
      <c r="BW515" s="116" t="n">
        <v>21</v>
      </c>
      <c r="BX515" s="14" t="s">
        <v>866</v>
      </c>
    </row>
    <row r="516">
      <c r="A516" s="151"/>
      <c r="C516" s="152" t="s">
        <v>867</v>
      </c>
      <c r="D516" s="152" t="s">
        <v>4</v>
      </c>
      <c r="F516" s="153" t="n">
        <v>299</v>
      </c>
      <c r="K516" s="154"/>
    </row>
    <row r="517">
      <c r="A517" s="151"/>
      <c r="B517" s="157" t="s">
        <v>177</v>
      </c>
      <c r="C517" s="155" t="s">
        <v>868</v>
      </c>
      <c r="D517" s="152"/>
      <c r="E517" s="152"/>
      <c r="F517" s="152"/>
      <c r="G517" s="152"/>
      <c r="H517" s="152"/>
      <c r="I517" s="152"/>
      <c r="J517" s="152"/>
      <c r="K517" s="156"/>
      <c r="BX517" s="155" t="s">
        <v>868</v>
      </c>
    </row>
    <row r="518">
      <c r="A518" s="9" t="s">
        <v>869</v>
      </c>
      <c r="B518" s="10" t="s">
        <v>870</v>
      </c>
      <c r="C518" s="14" t="s">
        <v>871</v>
      </c>
      <c r="D518" s="10"/>
      <c r="E518" s="10" t="s">
        <v>463</v>
      </c>
      <c r="F518" s="116" t="n">
        <v>6</v>
      </c>
      <c r="G518" s="116" t="n">
        <v>0</v>
      </c>
      <c r="H518" s="116">
        <f>F518*AO518</f>
      </c>
      <c r="I518" s="116">
        <f>F518*AP518</f>
      </c>
      <c r="J518" s="116">
        <f>F518*G518</f>
      </c>
      <c r="K518" s="149" t="s">
        <v>202</v>
      </c>
      <c r="Z518" s="116">
        <f>IF(AQ518="5",BJ518,0)</f>
      </c>
      <c r="AB518" s="116">
        <f>IF(AQ518="1",BH518,0)</f>
      </c>
      <c r="AC518" s="116">
        <f>IF(AQ518="1",BI518,0)</f>
      </c>
      <c r="AD518" s="116">
        <f>IF(AQ518="7",BH518,0)</f>
      </c>
      <c r="AE518" s="116">
        <f>IF(AQ518="7",BI518,0)</f>
      </c>
      <c r="AF518" s="116">
        <f>IF(AQ518="2",BH518,0)</f>
      </c>
      <c r="AG518" s="116">
        <f>IF(AQ518="2",BI518,0)</f>
      </c>
      <c r="AH518" s="116">
        <f>IF(AQ518="0",BJ518,0)</f>
      </c>
      <c r="AI518" s="131" t="s">
        <v>113</v>
      </c>
      <c r="AJ518" s="116">
        <f>IF(AN518=0,J518,0)</f>
      </c>
      <c r="AK518" s="116">
        <f>IF(AN518=12,J518,0)</f>
      </c>
      <c r="AL518" s="116">
        <f>IF(AN518=21,J518,0)</f>
      </c>
      <c r="AN518" s="116" t="n">
        <v>21</v>
      </c>
      <c r="AO518" s="116">
        <f>G518*0</f>
      </c>
      <c r="AP518" s="116">
        <f>G518*(1-0)</f>
      </c>
      <c r="AQ518" s="150" t="s">
        <v>88</v>
      </c>
      <c r="AV518" s="116">
        <f>AW518+AX518</f>
      </c>
      <c r="AW518" s="116">
        <f>F518*AO518</f>
      </c>
      <c r="AX518" s="116">
        <f>F518*AP518</f>
      </c>
      <c r="AY518" s="150" t="s">
        <v>583</v>
      </c>
      <c r="AZ518" s="150" t="s">
        <v>845</v>
      </c>
      <c r="BA518" s="131" t="s">
        <v>745</v>
      </c>
      <c r="BC518" s="116">
        <f>AW518+AX518</f>
      </c>
      <c r="BD518" s="116">
        <f>G518/(100-BE518)*100</f>
      </c>
      <c r="BE518" s="116" t="n">
        <v>0</v>
      </c>
      <c r="BF518" s="116">
        <f>518</f>
      </c>
      <c r="BH518" s="116">
        <f>F518*AO518</f>
      </c>
      <c r="BI518" s="116">
        <f>F518*AP518</f>
      </c>
      <c r="BJ518" s="116">
        <f>F518*G518</f>
      </c>
      <c r="BK518" s="116"/>
      <c r="BL518" s="116" t="n">
        <v>89</v>
      </c>
      <c r="BW518" s="116" t="n">
        <v>21</v>
      </c>
      <c r="BX518" s="14" t="s">
        <v>871</v>
      </c>
    </row>
    <row r="519">
      <c r="A519" s="151"/>
      <c r="C519" s="152" t="s">
        <v>189</v>
      </c>
      <c r="D519" s="152" t="s">
        <v>872</v>
      </c>
      <c r="F519" s="153" t="n">
        <v>6</v>
      </c>
      <c r="K519" s="154"/>
    </row>
    <row r="520">
      <c r="A520" s="151"/>
      <c r="B520" s="157" t="s">
        <v>177</v>
      </c>
      <c r="C520" s="155" t="s">
        <v>873</v>
      </c>
      <c r="D520" s="152"/>
      <c r="E520" s="152"/>
      <c r="F520" s="152"/>
      <c r="G520" s="152"/>
      <c r="H520" s="152"/>
      <c r="I520" s="152"/>
      <c r="J520" s="152"/>
      <c r="K520" s="156"/>
      <c r="BX520" s="155" t="s">
        <v>873</v>
      </c>
    </row>
    <row r="521">
      <c r="A521" s="9" t="s">
        <v>874</v>
      </c>
      <c r="B521" s="10" t="s">
        <v>870</v>
      </c>
      <c r="C521" s="14" t="s">
        <v>875</v>
      </c>
      <c r="D521" s="10"/>
      <c r="E521" s="10" t="s">
        <v>463</v>
      </c>
      <c r="F521" s="116" t="n">
        <v>6</v>
      </c>
      <c r="G521" s="116" t="n">
        <v>0</v>
      </c>
      <c r="H521" s="116">
        <f>F521*AO521</f>
      </c>
      <c r="I521" s="116">
        <f>F521*AP521</f>
      </c>
      <c r="J521" s="116">
        <f>F521*G521</f>
      </c>
      <c r="K521" s="149" t="s">
        <v>202</v>
      </c>
      <c r="Z521" s="116">
        <f>IF(AQ521="5",BJ521,0)</f>
      </c>
      <c r="AB521" s="116">
        <f>IF(AQ521="1",BH521,0)</f>
      </c>
      <c r="AC521" s="116">
        <f>IF(AQ521="1",BI521,0)</f>
      </c>
      <c r="AD521" s="116">
        <f>IF(AQ521="7",BH521,0)</f>
      </c>
      <c r="AE521" s="116">
        <f>IF(AQ521="7",BI521,0)</f>
      </c>
      <c r="AF521" s="116">
        <f>IF(AQ521="2",BH521,0)</f>
      </c>
      <c r="AG521" s="116">
        <f>IF(AQ521="2",BI521,0)</f>
      </c>
      <c r="AH521" s="116">
        <f>IF(AQ521="0",BJ521,0)</f>
      </c>
      <c r="AI521" s="131" t="s">
        <v>113</v>
      </c>
      <c r="AJ521" s="116">
        <f>IF(AN521=0,J521,0)</f>
      </c>
      <c r="AK521" s="116">
        <f>IF(AN521=12,J521,0)</f>
      </c>
      <c r="AL521" s="116">
        <f>IF(AN521=21,J521,0)</f>
      </c>
      <c r="AN521" s="116" t="n">
        <v>21</v>
      </c>
      <c r="AO521" s="116">
        <f>G521*0</f>
      </c>
      <c r="AP521" s="116">
        <f>G521*(1-0)</f>
      </c>
      <c r="AQ521" s="150" t="s">
        <v>88</v>
      </c>
      <c r="AV521" s="116">
        <f>AW521+AX521</f>
      </c>
      <c r="AW521" s="116">
        <f>F521*AO521</f>
      </c>
      <c r="AX521" s="116">
        <f>F521*AP521</f>
      </c>
      <c r="AY521" s="150" t="s">
        <v>583</v>
      </c>
      <c r="AZ521" s="150" t="s">
        <v>845</v>
      </c>
      <c r="BA521" s="131" t="s">
        <v>745</v>
      </c>
      <c r="BC521" s="116">
        <f>AW521+AX521</f>
      </c>
      <c r="BD521" s="116">
        <f>G521/(100-BE521)*100</f>
      </c>
      <c r="BE521" s="116" t="n">
        <v>0</v>
      </c>
      <c r="BF521" s="116">
        <f>521</f>
      </c>
      <c r="BH521" s="116">
        <f>F521*AO521</f>
      </c>
      <c r="BI521" s="116">
        <f>F521*AP521</f>
      </c>
      <c r="BJ521" s="116">
        <f>F521*G521</f>
      </c>
      <c r="BK521" s="116"/>
      <c r="BL521" s="116" t="n">
        <v>89</v>
      </c>
      <c r="BW521" s="116" t="n">
        <v>21</v>
      </c>
      <c r="BX521" s="14" t="s">
        <v>875</v>
      </c>
    </row>
    <row r="522">
      <c r="A522" s="151"/>
      <c r="C522" s="152" t="s">
        <v>189</v>
      </c>
      <c r="D522" s="152" t="s">
        <v>4</v>
      </c>
      <c r="F522" s="153" t="n">
        <v>6</v>
      </c>
      <c r="K522" s="154"/>
    </row>
    <row r="523">
      <c r="A523" s="9" t="s">
        <v>876</v>
      </c>
      <c r="B523" s="10" t="s">
        <v>877</v>
      </c>
      <c r="C523" s="14" t="s">
        <v>878</v>
      </c>
      <c r="D523" s="10"/>
      <c r="E523" s="10" t="s">
        <v>463</v>
      </c>
      <c r="F523" s="116" t="n">
        <v>1</v>
      </c>
      <c r="G523" s="116" t="n">
        <v>0</v>
      </c>
      <c r="H523" s="116">
        <f>F523*AO523</f>
      </c>
      <c r="I523" s="116">
        <f>F523*AP523</f>
      </c>
      <c r="J523" s="116">
        <f>F523*G523</f>
      </c>
      <c r="K523" s="149" t="s">
        <v>159</v>
      </c>
      <c r="Z523" s="116">
        <f>IF(AQ523="5",BJ523,0)</f>
      </c>
      <c r="AB523" s="116">
        <f>IF(AQ523="1",BH523,0)</f>
      </c>
      <c r="AC523" s="116">
        <f>IF(AQ523="1",BI523,0)</f>
      </c>
      <c r="AD523" s="116">
        <f>IF(AQ523="7",BH523,0)</f>
      </c>
      <c r="AE523" s="116">
        <f>IF(AQ523="7",BI523,0)</f>
      </c>
      <c r="AF523" s="116">
        <f>IF(AQ523="2",BH523,0)</f>
      </c>
      <c r="AG523" s="116">
        <f>IF(AQ523="2",BI523,0)</f>
      </c>
      <c r="AH523" s="116">
        <f>IF(AQ523="0",BJ523,0)</f>
      </c>
      <c r="AI523" s="131" t="s">
        <v>113</v>
      </c>
      <c r="AJ523" s="116">
        <f>IF(AN523=0,J523,0)</f>
      </c>
      <c r="AK523" s="116">
        <f>IF(AN523=12,J523,0)</f>
      </c>
      <c r="AL523" s="116">
        <f>IF(AN523=21,J523,0)</f>
      </c>
      <c r="AN523" s="116" t="n">
        <v>21</v>
      </c>
      <c r="AO523" s="116">
        <f>G523*0.292018018</f>
      </c>
      <c r="AP523" s="116">
        <f>G523*(1-0.292018018)</f>
      </c>
      <c r="AQ523" s="150" t="s">
        <v>88</v>
      </c>
      <c r="AV523" s="116">
        <f>AW523+AX523</f>
      </c>
      <c r="AW523" s="116">
        <f>F523*AO523</f>
      </c>
      <c r="AX523" s="116">
        <f>F523*AP523</f>
      </c>
      <c r="AY523" s="150" t="s">
        <v>583</v>
      </c>
      <c r="AZ523" s="150" t="s">
        <v>845</v>
      </c>
      <c r="BA523" s="131" t="s">
        <v>745</v>
      </c>
      <c r="BC523" s="116">
        <f>AW523+AX523</f>
      </c>
      <c r="BD523" s="116">
        <f>G523/(100-BE523)*100</f>
      </c>
      <c r="BE523" s="116" t="n">
        <v>0</v>
      </c>
      <c r="BF523" s="116">
        <f>523</f>
      </c>
      <c r="BH523" s="116">
        <f>F523*AO523</f>
      </c>
      <c r="BI523" s="116">
        <f>F523*AP523</f>
      </c>
      <c r="BJ523" s="116">
        <f>F523*G523</f>
      </c>
      <c r="BK523" s="116"/>
      <c r="BL523" s="116" t="n">
        <v>89</v>
      </c>
      <c r="BW523" s="116" t="n">
        <v>21</v>
      </c>
      <c r="BX523" s="14" t="s">
        <v>878</v>
      </c>
    </row>
    <row r="524">
      <c r="A524" s="151"/>
      <c r="C524" s="152" t="s">
        <v>88</v>
      </c>
      <c r="D524" s="152" t="s">
        <v>4</v>
      </c>
      <c r="F524" s="153" t="n">
        <v>1</v>
      </c>
      <c r="K524" s="154"/>
    </row>
    <row r="525">
      <c r="A525" s="151"/>
      <c r="B525" s="157" t="s">
        <v>177</v>
      </c>
      <c r="C525" s="155" t="s">
        <v>626</v>
      </c>
      <c r="D525" s="152"/>
      <c r="E525" s="152"/>
      <c r="F525" s="152"/>
      <c r="G525" s="152"/>
      <c r="H525" s="152"/>
      <c r="I525" s="152"/>
      <c r="J525" s="152"/>
      <c r="K525" s="156"/>
      <c r="BX525" s="155" t="s">
        <v>626</v>
      </c>
    </row>
    <row r="526">
      <c r="A526" s="9" t="s">
        <v>879</v>
      </c>
      <c r="B526" s="10" t="s">
        <v>628</v>
      </c>
      <c r="C526" s="14" t="s">
        <v>880</v>
      </c>
      <c r="D526" s="10"/>
      <c r="E526" s="10" t="s">
        <v>463</v>
      </c>
      <c r="F526" s="116" t="n">
        <v>2</v>
      </c>
      <c r="G526" s="116" t="n">
        <v>0</v>
      </c>
      <c r="H526" s="116">
        <f>F526*AO526</f>
      </c>
      <c r="I526" s="116">
        <f>F526*AP526</f>
      </c>
      <c r="J526" s="116">
        <f>F526*G526</f>
      </c>
      <c r="K526" s="149" t="s">
        <v>159</v>
      </c>
      <c r="Z526" s="116">
        <f>IF(AQ526="5",BJ526,0)</f>
      </c>
      <c r="AB526" s="116">
        <f>IF(AQ526="1",BH526,0)</f>
      </c>
      <c r="AC526" s="116">
        <f>IF(AQ526="1",BI526,0)</f>
      </c>
      <c r="AD526" s="116">
        <f>IF(AQ526="7",BH526,0)</f>
      </c>
      <c r="AE526" s="116">
        <f>IF(AQ526="7",BI526,0)</f>
      </c>
      <c r="AF526" s="116">
        <f>IF(AQ526="2",BH526,0)</f>
      </c>
      <c r="AG526" s="116">
        <f>IF(AQ526="2",BI526,0)</f>
      </c>
      <c r="AH526" s="116">
        <f>IF(AQ526="0",BJ526,0)</f>
      </c>
      <c r="AI526" s="131" t="s">
        <v>113</v>
      </c>
      <c r="AJ526" s="116">
        <f>IF(AN526=0,J526,0)</f>
      </c>
      <c r="AK526" s="116">
        <f>IF(AN526=12,J526,0)</f>
      </c>
      <c r="AL526" s="116">
        <f>IF(AN526=21,J526,0)</f>
      </c>
      <c r="AN526" s="116" t="n">
        <v>21</v>
      </c>
      <c r="AO526" s="116">
        <f>G526*0.477432343</f>
      </c>
      <c r="AP526" s="116">
        <f>G526*(1-0.477432343)</f>
      </c>
      <c r="AQ526" s="150" t="s">
        <v>88</v>
      </c>
      <c r="AV526" s="116">
        <f>AW526+AX526</f>
      </c>
      <c r="AW526" s="116">
        <f>F526*AO526</f>
      </c>
      <c r="AX526" s="116">
        <f>F526*AP526</f>
      </c>
      <c r="AY526" s="150" t="s">
        <v>583</v>
      </c>
      <c r="AZ526" s="150" t="s">
        <v>845</v>
      </c>
      <c r="BA526" s="131" t="s">
        <v>745</v>
      </c>
      <c r="BC526" s="116">
        <f>AW526+AX526</f>
      </c>
      <c r="BD526" s="116">
        <f>G526/(100-BE526)*100</f>
      </c>
      <c r="BE526" s="116" t="n">
        <v>0</v>
      </c>
      <c r="BF526" s="116">
        <f>526</f>
      </c>
      <c r="BH526" s="116">
        <f>F526*AO526</f>
      </c>
      <c r="BI526" s="116">
        <f>F526*AP526</f>
      </c>
      <c r="BJ526" s="116">
        <f>F526*G526</f>
      </c>
      <c r="BK526" s="116"/>
      <c r="BL526" s="116" t="n">
        <v>89</v>
      </c>
      <c r="BW526" s="116" t="n">
        <v>21</v>
      </c>
      <c r="BX526" s="14" t="s">
        <v>880</v>
      </c>
    </row>
    <row r="527">
      <c r="A527" s="151"/>
      <c r="C527" s="152" t="s">
        <v>104</v>
      </c>
      <c r="D527" s="152" t="s">
        <v>4</v>
      </c>
      <c r="F527" s="153" t="n">
        <v>2</v>
      </c>
      <c r="K527" s="154"/>
    </row>
    <row r="528">
      <c r="A528" s="9" t="s">
        <v>881</v>
      </c>
      <c r="B528" s="10" t="s">
        <v>882</v>
      </c>
      <c r="C528" s="14" t="s">
        <v>883</v>
      </c>
      <c r="D528" s="10"/>
      <c r="E528" s="10" t="s">
        <v>216</v>
      </c>
      <c r="F528" s="116" t="n">
        <v>286</v>
      </c>
      <c r="G528" s="116" t="n">
        <v>0</v>
      </c>
      <c r="H528" s="116">
        <f>F528*AO528</f>
      </c>
      <c r="I528" s="116">
        <f>F528*AP528</f>
      </c>
      <c r="J528" s="116">
        <f>F528*G528</f>
      </c>
      <c r="K528" s="149" t="s">
        <v>159</v>
      </c>
      <c r="Z528" s="116">
        <f>IF(AQ528="5",BJ528,0)</f>
      </c>
      <c r="AB528" s="116">
        <f>IF(AQ528="1",BH528,0)</f>
      </c>
      <c r="AC528" s="116">
        <f>IF(AQ528="1",BI528,0)</f>
      </c>
      <c r="AD528" s="116">
        <f>IF(AQ528="7",BH528,0)</f>
      </c>
      <c r="AE528" s="116">
        <f>IF(AQ528="7",BI528,0)</f>
      </c>
      <c r="AF528" s="116">
        <f>IF(AQ528="2",BH528,0)</f>
      </c>
      <c r="AG528" s="116">
        <f>IF(AQ528="2",BI528,0)</f>
      </c>
      <c r="AH528" s="116">
        <f>IF(AQ528="0",BJ528,0)</f>
      </c>
      <c r="AI528" s="131" t="s">
        <v>113</v>
      </c>
      <c r="AJ528" s="116">
        <f>IF(AN528=0,J528,0)</f>
      </c>
      <c r="AK528" s="116">
        <f>IF(AN528=12,J528,0)</f>
      </c>
      <c r="AL528" s="116">
        <f>IF(AN528=21,J528,0)</f>
      </c>
      <c r="AN528" s="116" t="n">
        <v>21</v>
      </c>
      <c r="AO528" s="116">
        <f>G528*0.585483871</f>
      </c>
      <c r="AP528" s="116">
        <f>G528*(1-0.585483871)</f>
      </c>
      <c r="AQ528" s="150" t="s">
        <v>88</v>
      </c>
      <c r="AV528" s="116">
        <f>AW528+AX528</f>
      </c>
      <c r="AW528" s="116">
        <f>F528*AO528</f>
      </c>
      <c r="AX528" s="116">
        <f>F528*AP528</f>
      </c>
      <c r="AY528" s="150" t="s">
        <v>583</v>
      </c>
      <c r="AZ528" s="150" t="s">
        <v>845</v>
      </c>
      <c r="BA528" s="131" t="s">
        <v>745</v>
      </c>
      <c r="BC528" s="116">
        <f>AW528+AX528</f>
      </c>
      <c r="BD528" s="116">
        <f>G528/(100-BE528)*100</f>
      </c>
      <c r="BE528" s="116" t="n">
        <v>0</v>
      </c>
      <c r="BF528" s="116">
        <f>528</f>
      </c>
      <c r="BH528" s="116">
        <f>F528*AO528</f>
      </c>
      <c r="BI528" s="116">
        <f>F528*AP528</f>
      </c>
      <c r="BJ528" s="116">
        <f>F528*G528</f>
      </c>
      <c r="BK528" s="116"/>
      <c r="BL528" s="116" t="n">
        <v>89</v>
      </c>
      <c r="BW528" s="116" t="n">
        <v>21</v>
      </c>
      <c r="BX528" s="14" t="s">
        <v>883</v>
      </c>
    </row>
    <row r="529">
      <c r="A529" s="151"/>
      <c r="C529" s="152" t="s">
        <v>884</v>
      </c>
      <c r="D529" s="152" t="s">
        <v>4</v>
      </c>
      <c r="F529" s="153" t="n">
        <v>286</v>
      </c>
      <c r="K529" s="154"/>
    </row>
    <row r="530">
      <c r="A530" s="144" t="s">
        <v>4</v>
      </c>
      <c r="B530" s="145" t="s">
        <v>630</v>
      </c>
      <c r="C530" s="146" t="s">
        <v>631</v>
      </c>
      <c r="D530" s="145"/>
      <c r="E530" s="147" t="s">
        <v>79</v>
      </c>
      <c r="F530" s="147" t="s">
        <v>79</v>
      </c>
      <c r="G530" s="147" t="s">
        <v>79</v>
      </c>
      <c r="H530" s="123">
        <f>SUM(H531:H531)</f>
      </c>
      <c r="I530" s="123">
        <f>SUM(I531:I531)</f>
      </c>
      <c r="J530" s="123">
        <f>SUM(J531:J531)</f>
      </c>
      <c r="K530" s="148" t="s">
        <v>4</v>
      </c>
      <c r="AI530" s="131" t="s">
        <v>113</v>
      </c>
      <c r="AS530" s="123">
        <f>SUM(AJ531:AJ531)</f>
      </c>
      <c r="AT530" s="123">
        <f>SUM(AK531:AK531)</f>
      </c>
      <c r="AU530" s="123">
        <f>SUM(AL531:AL531)</f>
      </c>
    </row>
    <row r="531">
      <c r="A531" s="9" t="s">
        <v>885</v>
      </c>
      <c r="B531" s="10" t="s">
        <v>633</v>
      </c>
      <c r="C531" s="14" t="s">
        <v>634</v>
      </c>
      <c r="D531" s="10"/>
      <c r="E531" s="10" t="s">
        <v>166</v>
      </c>
      <c r="F531" s="116" t="n">
        <v>40</v>
      </c>
      <c r="G531" s="116" t="n">
        <v>0</v>
      </c>
      <c r="H531" s="116">
        <f>F531*AO531</f>
      </c>
      <c r="I531" s="116">
        <f>F531*AP531</f>
      </c>
      <c r="J531" s="116">
        <f>F531*G531</f>
      </c>
      <c r="K531" s="149" t="s">
        <v>159</v>
      </c>
      <c r="Z531" s="116">
        <f>IF(AQ531="5",BJ531,0)</f>
      </c>
      <c r="AB531" s="116">
        <f>IF(AQ531="1",BH531,0)</f>
      </c>
      <c r="AC531" s="116">
        <f>IF(AQ531="1",BI531,0)</f>
      </c>
      <c r="AD531" s="116">
        <f>IF(AQ531="7",BH531,0)</f>
      </c>
      <c r="AE531" s="116">
        <f>IF(AQ531="7",BI531,0)</f>
      </c>
      <c r="AF531" s="116">
        <f>IF(AQ531="2",BH531,0)</f>
      </c>
      <c r="AG531" s="116">
        <f>IF(AQ531="2",BI531,0)</f>
      </c>
      <c r="AH531" s="116">
        <f>IF(AQ531="0",BJ531,0)</f>
      </c>
      <c r="AI531" s="131" t="s">
        <v>113</v>
      </c>
      <c r="AJ531" s="116">
        <f>IF(AN531=0,J531,0)</f>
      </c>
      <c r="AK531" s="116">
        <f>IF(AN531=12,J531,0)</f>
      </c>
      <c r="AL531" s="116">
        <f>IF(AN531=21,J531,0)</f>
      </c>
      <c r="AN531" s="116" t="n">
        <v>21</v>
      </c>
      <c r="AO531" s="116">
        <f>G531*0</f>
      </c>
      <c r="AP531" s="116">
        <f>G531*(1-0)</f>
      </c>
      <c r="AQ531" s="150" t="s">
        <v>88</v>
      </c>
      <c r="AV531" s="116">
        <f>AW531+AX531</f>
      </c>
      <c r="AW531" s="116">
        <f>F531*AO531</f>
      </c>
      <c r="AX531" s="116">
        <f>F531*AP531</f>
      </c>
      <c r="AY531" s="150" t="s">
        <v>635</v>
      </c>
      <c r="AZ531" s="150" t="s">
        <v>886</v>
      </c>
      <c r="BA531" s="131" t="s">
        <v>745</v>
      </c>
      <c r="BC531" s="116">
        <f>AW531+AX531</f>
      </c>
      <c r="BD531" s="116">
        <f>G531/(100-BE531)*100</f>
      </c>
      <c r="BE531" s="116" t="n">
        <v>0</v>
      </c>
      <c r="BF531" s="116">
        <f>531</f>
      </c>
      <c r="BH531" s="116">
        <f>F531*AO531</f>
      </c>
      <c r="BI531" s="116">
        <f>F531*AP531</f>
      </c>
      <c r="BJ531" s="116">
        <f>F531*G531</f>
      </c>
      <c r="BK531" s="116"/>
      <c r="BL531" s="116" t="n">
        <v>90</v>
      </c>
      <c r="BW531" s="116" t="n">
        <v>21</v>
      </c>
      <c r="BX531" s="14" t="s">
        <v>634</v>
      </c>
    </row>
    <row r="532">
      <c r="A532" s="151"/>
      <c r="C532" s="152" t="s">
        <v>344</v>
      </c>
      <c r="D532" s="152" t="s">
        <v>887</v>
      </c>
      <c r="F532" s="153" t="n">
        <v>30</v>
      </c>
      <c r="K532" s="154"/>
    </row>
    <row r="533">
      <c r="A533" s="151"/>
      <c r="C533" s="152" t="s">
        <v>93</v>
      </c>
      <c r="D533" s="152" t="s">
        <v>888</v>
      </c>
      <c r="F533" s="153" t="n">
        <v>5</v>
      </c>
      <c r="K533" s="154"/>
    </row>
    <row r="534">
      <c r="A534" s="151"/>
      <c r="C534" s="152" t="s">
        <v>93</v>
      </c>
      <c r="D534" s="152" t="s">
        <v>889</v>
      </c>
      <c r="F534" s="153" t="n">
        <v>5</v>
      </c>
      <c r="K534" s="154"/>
    </row>
    <row r="535" ht="96.75">
      <c r="A535" s="151"/>
      <c r="B535" s="157" t="s">
        <v>177</v>
      </c>
      <c r="C535" s="155" t="s">
        <v>638</v>
      </c>
      <c r="D535" s="152"/>
      <c r="E535" s="152"/>
      <c r="F535" s="152"/>
      <c r="G535" s="152"/>
      <c r="H535" s="152"/>
      <c r="I535" s="152"/>
      <c r="J535" s="152"/>
      <c r="K535" s="156"/>
      <c r="BX535" s="155" t="s">
        <v>638</v>
      </c>
    </row>
    <row r="536">
      <c r="A536" s="144" t="s">
        <v>4</v>
      </c>
      <c r="B536" s="145" t="s">
        <v>639</v>
      </c>
      <c r="C536" s="146" t="s">
        <v>640</v>
      </c>
      <c r="D536" s="145"/>
      <c r="E536" s="147" t="s">
        <v>79</v>
      </c>
      <c r="F536" s="147" t="s">
        <v>79</v>
      </c>
      <c r="G536" s="147" t="s">
        <v>79</v>
      </c>
      <c r="H536" s="123">
        <f>SUM(H537:H537)</f>
      </c>
      <c r="I536" s="123">
        <f>SUM(I537:I537)</f>
      </c>
      <c r="J536" s="123">
        <f>SUM(J537:J537)</f>
      </c>
      <c r="K536" s="148" t="s">
        <v>4</v>
      </c>
      <c r="AI536" s="131" t="s">
        <v>113</v>
      </c>
      <c r="AS536" s="123">
        <f>SUM(AJ537:AJ537)</f>
      </c>
      <c r="AT536" s="123">
        <f>SUM(AK537:AK537)</f>
      </c>
      <c r="AU536" s="123">
        <f>SUM(AL537:AL537)</f>
      </c>
    </row>
    <row r="537">
      <c r="A537" s="9" t="s">
        <v>458</v>
      </c>
      <c r="B537" s="10" t="s">
        <v>642</v>
      </c>
      <c r="C537" s="14" t="s">
        <v>643</v>
      </c>
      <c r="D537" s="10"/>
      <c r="E537" s="10" t="s">
        <v>216</v>
      </c>
      <c r="F537" s="116" t="n">
        <v>1</v>
      </c>
      <c r="G537" s="116" t="n">
        <v>0</v>
      </c>
      <c r="H537" s="116">
        <f>F537*AO537</f>
      </c>
      <c r="I537" s="116">
        <f>F537*AP537</f>
      </c>
      <c r="J537" s="116">
        <f>F537*G537</f>
      </c>
      <c r="K537" s="149" t="s">
        <v>159</v>
      </c>
      <c r="Z537" s="116">
        <f>IF(AQ537="5",BJ537,0)</f>
      </c>
      <c r="AB537" s="116">
        <f>IF(AQ537="1",BH537,0)</f>
      </c>
      <c r="AC537" s="116">
        <f>IF(AQ537="1",BI537,0)</f>
      </c>
      <c r="AD537" s="116">
        <f>IF(AQ537="7",BH537,0)</f>
      </c>
      <c r="AE537" s="116">
        <f>IF(AQ537="7",BI537,0)</f>
      </c>
      <c r="AF537" s="116">
        <f>IF(AQ537="2",BH537,0)</f>
      </c>
      <c r="AG537" s="116">
        <f>IF(AQ537="2",BI537,0)</f>
      </c>
      <c r="AH537" s="116">
        <f>IF(AQ537="0",BJ537,0)</f>
      </c>
      <c r="AI537" s="131" t="s">
        <v>113</v>
      </c>
      <c r="AJ537" s="116">
        <f>IF(AN537=0,J537,0)</f>
      </c>
      <c r="AK537" s="116">
        <f>IF(AN537=12,J537,0)</f>
      </c>
      <c r="AL537" s="116">
        <f>IF(AN537=21,J537,0)</f>
      </c>
      <c r="AN537" s="116" t="n">
        <v>21</v>
      </c>
      <c r="AO537" s="116">
        <f>G537*0.827102804</f>
      </c>
      <c r="AP537" s="116">
        <f>G537*(1-0.827102804)</f>
      </c>
      <c r="AQ537" s="150" t="s">
        <v>88</v>
      </c>
      <c r="AV537" s="116">
        <f>AW537+AX537</f>
      </c>
      <c r="AW537" s="116">
        <f>F537*AO537</f>
      </c>
      <c r="AX537" s="116">
        <f>F537*AP537</f>
      </c>
      <c r="AY537" s="150" t="s">
        <v>644</v>
      </c>
      <c r="AZ537" s="150" t="s">
        <v>886</v>
      </c>
      <c r="BA537" s="131" t="s">
        <v>745</v>
      </c>
      <c r="BC537" s="116">
        <f>AW537+AX537</f>
      </c>
      <c r="BD537" s="116">
        <f>G537/(100-BE537)*100</f>
      </c>
      <c r="BE537" s="116" t="n">
        <v>0</v>
      </c>
      <c r="BF537" s="116">
        <f>537</f>
      </c>
      <c r="BH537" s="116">
        <f>F537*AO537</f>
      </c>
      <c r="BI537" s="116">
        <f>F537*AP537</f>
      </c>
      <c r="BJ537" s="116">
        <f>F537*G537</f>
      </c>
      <c r="BK537" s="116"/>
      <c r="BL537" s="116" t="n">
        <v>93</v>
      </c>
      <c r="BW537" s="116" t="n">
        <v>21</v>
      </c>
      <c r="BX537" s="14" t="s">
        <v>643</v>
      </c>
    </row>
    <row r="538">
      <c r="A538" s="151"/>
      <c r="C538" s="152" t="s">
        <v>88</v>
      </c>
      <c r="D538" s="152" t="s">
        <v>4</v>
      </c>
      <c r="F538" s="153" t="n">
        <v>1</v>
      </c>
      <c r="K538" s="154"/>
    </row>
    <row r="539" ht="24.75">
      <c r="A539" s="151"/>
      <c r="B539" s="157" t="s">
        <v>177</v>
      </c>
      <c r="C539" s="155" t="s">
        <v>646</v>
      </c>
      <c r="D539" s="152"/>
      <c r="E539" s="152"/>
      <c r="F539" s="152"/>
      <c r="G539" s="152"/>
      <c r="H539" s="152"/>
      <c r="I539" s="152"/>
      <c r="J539" s="152"/>
      <c r="K539" s="156"/>
      <c r="BX539" s="155" t="s">
        <v>646</v>
      </c>
    </row>
    <row r="540">
      <c r="A540" s="144" t="s">
        <v>4</v>
      </c>
      <c r="B540" s="145" t="s">
        <v>647</v>
      </c>
      <c r="C540" s="146" t="s">
        <v>648</v>
      </c>
      <c r="D540" s="145"/>
      <c r="E540" s="147" t="s">
        <v>79</v>
      </c>
      <c r="F540" s="147" t="s">
        <v>79</v>
      </c>
      <c r="G540" s="147" t="s">
        <v>79</v>
      </c>
      <c r="H540" s="123">
        <f>SUM(H541:H543)</f>
      </c>
      <c r="I540" s="123">
        <f>SUM(I541:I543)</f>
      </c>
      <c r="J540" s="123">
        <f>SUM(J541:J543)</f>
      </c>
      <c r="K540" s="148" t="s">
        <v>4</v>
      </c>
      <c r="AI540" s="131" t="s">
        <v>113</v>
      </c>
      <c r="AS540" s="123">
        <f>SUM(AJ541:AJ543)</f>
      </c>
      <c r="AT540" s="123">
        <f>SUM(AK541:AK543)</f>
      </c>
      <c r="AU540" s="123">
        <f>SUM(AL541:AL543)</f>
      </c>
    </row>
    <row r="541">
      <c r="A541" s="9" t="s">
        <v>890</v>
      </c>
      <c r="B541" s="10" t="s">
        <v>891</v>
      </c>
      <c r="C541" s="14" t="s">
        <v>892</v>
      </c>
      <c r="D541" s="10"/>
      <c r="E541" s="10" t="s">
        <v>216</v>
      </c>
      <c r="F541" s="116" t="n">
        <v>0.3</v>
      </c>
      <c r="G541" s="116" t="n">
        <v>0</v>
      </c>
      <c r="H541" s="116">
        <f>F541*AO541</f>
      </c>
      <c r="I541" s="116">
        <f>F541*AP541</f>
      </c>
      <c r="J541" s="116">
        <f>F541*G541</f>
      </c>
      <c r="K541" s="149" t="s">
        <v>159</v>
      </c>
      <c r="Z541" s="116">
        <f>IF(AQ541="5",BJ541,0)</f>
      </c>
      <c r="AB541" s="116">
        <f>IF(AQ541="1",BH541,0)</f>
      </c>
      <c r="AC541" s="116">
        <f>IF(AQ541="1",BI541,0)</f>
      </c>
      <c r="AD541" s="116">
        <f>IF(AQ541="7",BH541,0)</f>
      </c>
      <c r="AE541" s="116">
        <f>IF(AQ541="7",BI541,0)</f>
      </c>
      <c r="AF541" s="116">
        <f>IF(AQ541="2",BH541,0)</f>
      </c>
      <c r="AG541" s="116">
        <f>IF(AQ541="2",BI541,0)</f>
      </c>
      <c r="AH541" s="116">
        <f>IF(AQ541="0",BJ541,0)</f>
      </c>
      <c r="AI541" s="131" t="s">
        <v>113</v>
      </c>
      <c r="AJ541" s="116">
        <f>IF(AN541=0,J541,0)</f>
      </c>
      <c r="AK541" s="116">
        <f>IF(AN541=12,J541,0)</f>
      </c>
      <c r="AL541" s="116">
        <f>IF(AN541=21,J541,0)</f>
      </c>
      <c r="AN541" s="116" t="n">
        <v>21</v>
      </c>
      <c r="AO541" s="116">
        <f>G541*0.35793133</f>
      </c>
      <c r="AP541" s="116">
        <f>G541*(1-0.35793133)</f>
      </c>
      <c r="AQ541" s="150" t="s">
        <v>88</v>
      </c>
      <c r="AV541" s="116">
        <f>AW541+AX541</f>
      </c>
      <c r="AW541" s="116">
        <f>F541*AO541</f>
      </c>
      <c r="AX541" s="116">
        <f>F541*AP541</f>
      </c>
      <c r="AY541" s="150" t="s">
        <v>651</v>
      </c>
      <c r="AZ541" s="150" t="s">
        <v>886</v>
      </c>
      <c r="BA541" s="131" t="s">
        <v>745</v>
      </c>
      <c r="BC541" s="116">
        <f>AW541+AX541</f>
      </c>
      <c r="BD541" s="116">
        <f>G541/(100-BE541)*100</f>
      </c>
      <c r="BE541" s="116" t="n">
        <v>0</v>
      </c>
      <c r="BF541" s="116">
        <f>541</f>
      </c>
      <c r="BH541" s="116">
        <f>F541*AO541</f>
      </c>
      <c r="BI541" s="116">
        <f>F541*AP541</f>
      </c>
      <c r="BJ541" s="116">
        <f>F541*G541</f>
      </c>
      <c r="BK541" s="116"/>
      <c r="BL541" s="116" t="n">
        <v>97</v>
      </c>
      <c r="BW541" s="116" t="n">
        <v>21</v>
      </c>
      <c r="BX541" s="14" t="s">
        <v>892</v>
      </c>
    </row>
    <row r="542">
      <c r="A542" s="151"/>
      <c r="C542" s="152" t="s">
        <v>893</v>
      </c>
      <c r="D542" s="152" t="s">
        <v>4</v>
      </c>
      <c r="F542" s="153" t="n">
        <v>0.3</v>
      </c>
      <c r="K542" s="154"/>
    </row>
    <row r="543">
      <c r="A543" s="9" t="s">
        <v>894</v>
      </c>
      <c r="B543" s="10" t="s">
        <v>895</v>
      </c>
      <c r="C543" s="14" t="s">
        <v>896</v>
      </c>
      <c r="D543" s="10"/>
      <c r="E543" s="10" t="s">
        <v>259</v>
      </c>
      <c r="F543" s="116" t="n">
        <v>4.2</v>
      </c>
      <c r="G543" s="116" t="n">
        <v>0</v>
      </c>
      <c r="H543" s="116">
        <f>F543*AO543</f>
      </c>
      <c r="I543" s="116">
        <f>F543*AP543</f>
      </c>
      <c r="J543" s="116">
        <f>F543*G543</f>
      </c>
      <c r="K543" s="149" t="s">
        <v>159</v>
      </c>
      <c r="Z543" s="116">
        <f>IF(AQ543="5",BJ543,0)</f>
      </c>
      <c r="AB543" s="116">
        <f>IF(AQ543="1",BH543,0)</f>
      </c>
      <c r="AC543" s="116">
        <f>IF(AQ543="1",BI543,0)</f>
      </c>
      <c r="AD543" s="116">
        <f>IF(AQ543="7",BH543,0)</f>
      </c>
      <c r="AE543" s="116">
        <f>IF(AQ543="7",BI543,0)</f>
      </c>
      <c r="AF543" s="116">
        <f>IF(AQ543="2",BH543,0)</f>
      </c>
      <c r="AG543" s="116">
        <f>IF(AQ543="2",BI543,0)</f>
      </c>
      <c r="AH543" s="116">
        <f>IF(AQ543="0",BJ543,0)</f>
      </c>
      <c r="AI543" s="131" t="s">
        <v>113</v>
      </c>
      <c r="AJ543" s="116">
        <f>IF(AN543=0,J543,0)</f>
      </c>
      <c r="AK543" s="116">
        <f>IF(AN543=12,J543,0)</f>
      </c>
      <c r="AL543" s="116">
        <f>IF(AN543=21,J543,0)</f>
      </c>
      <c r="AN543" s="116" t="n">
        <v>21</v>
      </c>
      <c r="AO543" s="116">
        <f>G543*0</f>
      </c>
      <c r="AP543" s="116">
        <f>G543*(1-0)</f>
      </c>
      <c r="AQ543" s="150" t="s">
        <v>88</v>
      </c>
      <c r="AV543" s="116">
        <f>AW543+AX543</f>
      </c>
      <c r="AW543" s="116">
        <f>F543*AO543</f>
      </c>
      <c r="AX543" s="116">
        <f>F543*AP543</f>
      </c>
      <c r="AY543" s="150" t="s">
        <v>651</v>
      </c>
      <c r="AZ543" s="150" t="s">
        <v>886</v>
      </c>
      <c r="BA543" s="131" t="s">
        <v>745</v>
      </c>
      <c r="BC543" s="116">
        <f>AW543+AX543</f>
      </c>
      <c r="BD543" s="116">
        <f>G543/(100-BE543)*100</f>
      </c>
      <c r="BE543" s="116" t="n">
        <v>0</v>
      </c>
      <c r="BF543" s="116">
        <f>543</f>
      </c>
      <c r="BH543" s="116">
        <f>F543*AO543</f>
      </c>
      <c r="BI543" s="116">
        <f>F543*AP543</f>
      </c>
      <c r="BJ543" s="116">
        <f>F543*G543</f>
      </c>
      <c r="BK543" s="116"/>
      <c r="BL543" s="116" t="n">
        <v>97</v>
      </c>
      <c r="BW543" s="116" t="n">
        <v>21</v>
      </c>
      <c r="BX543" s="14" t="s">
        <v>896</v>
      </c>
    </row>
    <row r="544">
      <c r="A544" s="151"/>
      <c r="C544" s="152" t="s">
        <v>897</v>
      </c>
      <c r="D544" s="152" t="s">
        <v>4</v>
      </c>
      <c r="F544" s="153" t="n">
        <v>4.2</v>
      </c>
      <c r="K544" s="154"/>
    </row>
    <row r="545">
      <c r="A545" s="144" t="s">
        <v>4</v>
      </c>
      <c r="B545" s="145" t="s">
        <v>653</v>
      </c>
      <c r="C545" s="146" t="s">
        <v>654</v>
      </c>
      <c r="D545" s="145"/>
      <c r="E545" s="147" t="s">
        <v>79</v>
      </c>
      <c r="F545" s="147" t="s">
        <v>79</v>
      </c>
      <c r="G545" s="147" t="s">
        <v>79</v>
      </c>
      <c r="H545" s="123">
        <f>SUM(H546:H546)</f>
      </c>
      <c r="I545" s="123">
        <f>SUM(I546:I546)</f>
      </c>
      <c r="J545" s="123">
        <f>SUM(J546:J546)</f>
      </c>
      <c r="K545" s="148" t="s">
        <v>4</v>
      </c>
      <c r="AI545" s="131" t="s">
        <v>113</v>
      </c>
      <c r="AS545" s="123">
        <f>SUM(AJ546:AJ546)</f>
      </c>
      <c r="AT545" s="123">
        <f>SUM(AK546:AK546)</f>
      </c>
      <c r="AU545" s="123">
        <f>SUM(AL546:AL546)</f>
      </c>
    </row>
    <row r="546">
      <c r="A546" s="9" t="s">
        <v>898</v>
      </c>
      <c r="B546" s="10" t="s">
        <v>656</v>
      </c>
      <c r="C546" s="14" t="s">
        <v>657</v>
      </c>
      <c r="D546" s="10"/>
      <c r="E546" s="10" t="s">
        <v>259</v>
      </c>
      <c r="F546" s="116" t="n">
        <v>1.1361</v>
      </c>
      <c r="G546" s="116" t="n">
        <v>0</v>
      </c>
      <c r="H546" s="116">
        <f>F546*AO546</f>
      </c>
      <c r="I546" s="116">
        <f>F546*AP546</f>
      </c>
      <c r="J546" s="116">
        <f>F546*G546</f>
      </c>
      <c r="K546" s="149" t="s">
        <v>159</v>
      </c>
      <c r="Z546" s="116">
        <f>IF(AQ546="5",BJ546,0)</f>
      </c>
      <c r="AB546" s="116">
        <f>IF(AQ546="1",BH546,0)</f>
      </c>
      <c r="AC546" s="116">
        <f>IF(AQ546="1",BI546,0)</f>
      </c>
      <c r="AD546" s="116">
        <f>IF(AQ546="7",BH546,0)</f>
      </c>
      <c r="AE546" s="116">
        <f>IF(AQ546="7",BI546,0)</f>
      </c>
      <c r="AF546" s="116">
        <f>IF(AQ546="2",BH546,0)</f>
      </c>
      <c r="AG546" s="116">
        <f>IF(AQ546="2",BI546,0)</f>
      </c>
      <c r="AH546" s="116">
        <f>IF(AQ546="0",BJ546,0)</f>
      </c>
      <c r="AI546" s="131" t="s">
        <v>113</v>
      </c>
      <c r="AJ546" s="116">
        <f>IF(AN546=0,J546,0)</f>
      </c>
      <c r="AK546" s="116">
        <f>IF(AN546=12,J546,0)</f>
      </c>
      <c r="AL546" s="116">
        <f>IF(AN546=21,J546,0)</f>
      </c>
      <c r="AN546" s="116" t="n">
        <v>21</v>
      </c>
      <c r="AO546" s="116">
        <f>G546*0</f>
      </c>
      <c r="AP546" s="116">
        <f>G546*(1-0)</f>
      </c>
      <c r="AQ546" s="150" t="s">
        <v>93</v>
      </c>
      <c r="AV546" s="116">
        <f>AW546+AX546</f>
      </c>
      <c r="AW546" s="116">
        <f>F546*AO546</f>
      </c>
      <c r="AX546" s="116">
        <f>F546*AP546</f>
      </c>
      <c r="AY546" s="150" t="s">
        <v>658</v>
      </c>
      <c r="AZ546" s="150" t="s">
        <v>886</v>
      </c>
      <c r="BA546" s="131" t="s">
        <v>745</v>
      </c>
      <c r="BC546" s="116">
        <f>AW546+AX546</f>
      </c>
      <c r="BD546" s="116">
        <f>G546/(100-BE546)*100</f>
      </c>
      <c r="BE546" s="116" t="n">
        <v>0</v>
      </c>
      <c r="BF546" s="116">
        <f>546</f>
      </c>
      <c r="BH546" s="116">
        <f>F546*AO546</f>
      </c>
      <c r="BI546" s="116">
        <f>F546*AP546</f>
      </c>
      <c r="BJ546" s="116">
        <f>F546*G546</f>
      </c>
      <c r="BK546" s="116"/>
      <c r="BL546" s="116"/>
      <c r="BW546" s="116" t="n">
        <v>21</v>
      </c>
      <c r="BX546" s="14" t="s">
        <v>657</v>
      </c>
    </row>
    <row r="547">
      <c r="A547" s="151"/>
      <c r="C547" s="152" t="s">
        <v>899</v>
      </c>
      <c r="D547" s="152" t="s">
        <v>4</v>
      </c>
      <c r="F547" s="153" t="n">
        <v>1.1361</v>
      </c>
      <c r="K547" s="154"/>
    </row>
    <row r="548" ht="36.75">
      <c r="A548" s="151"/>
      <c r="B548" s="157" t="s">
        <v>177</v>
      </c>
      <c r="C548" s="155" t="s">
        <v>660</v>
      </c>
      <c r="D548" s="152"/>
      <c r="E548" s="152"/>
      <c r="F548" s="152"/>
      <c r="G548" s="152"/>
      <c r="H548" s="152"/>
      <c r="I548" s="152"/>
      <c r="J548" s="152"/>
      <c r="K548" s="156"/>
      <c r="BX548" s="155" t="s">
        <v>660</v>
      </c>
    </row>
    <row r="549">
      <c r="A549" s="144" t="s">
        <v>4</v>
      </c>
      <c r="B549" s="145" t="s">
        <v>254</v>
      </c>
      <c r="C549" s="146" t="s">
        <v>255</v>
      </c>
      <c r="D549" s="145"/>
      <c r="E549" s="147" t="s">
        <v>79</v>
      </c>
      <c r="F549" s="147" t="s">
        <v>79</v>
      </c>
      <c r="G549" s="147" t="s">
        <v>79</v>
      </c>
      <c r="H549" s="123">
        <f>SUM(H550:H552)</f>
      </c>
      <c r="I549" s="123">
        <f>SUM(I550:I552)</f>
      </c>
      <c r="J549" s="123">
        <f>SUM(J550:J552)</f>
      </c>
      <c r="K549" s="148" t="s">
        <v>4</v>
      </c>
      <c r="AI549" s="131" t="s">
        <v>113</v>
      </c>
      <c r="AS549" s="123">
        <f>SUM(AJ550:AJ552)</f>
      </c>
      <c r="AT549" s="123">
        <f>SUM(AK550:AK552)</f>
      </c>
      <c r="AU549" s="123">
        <f>SUM(AL550:AL552)</f>
      </c>
    </row>
    <row r="550">
      <c r="A550" s="9" t="s">
        <v>900</v>
      </c>
      <c r="B550" s="10" t="s">
        <v>901</v>
      </c>
      <c r="C550" s="14" t="s">
        <v>902</v>
      </c>
      <c r="D550" s="10"/>
      <c r="E550" s="10" t="s">
        <v>259</v>
      </c>
      <c r="F550" s="116" t="n">
        <v>4.2</v>
      </c>
      <c r="G550" s="116" t="n">
        <v>0</v>
      </c>
      <c r="H550" s="116">
        <f>F550*AO550</f>
      </c>
      <c r="I550" s="116">
        <f>F550*AP550</f>
      </c>
      <c r="J550" s="116">
        <f>F550*G550</f>
      </c>
      <c r="K550" s="149" t="s">
        <v>159</v>
      </c>
      <c r="Z550" s="116">
        <f>IF(AQ550="5",BJ550,0)</f>
      </c>
      <c r="AB550" s="116">
        <f>IF(AQ550="1",BH550,0)</f>
      </c>
      <c r="AC550" s="116">
        <f>IF(AQ550="1",BI550,0)</f>
      </c>
      <c r="AD550" s="116">
        <f>IF(AQ550="7",BH550,0)</f>
      </c>
      <c r="AE550" s="116">
        <f>IF(AQ550="7",BI550,0)</f>
      </c>
      <c r="AF550" s="116">
        <f>IF(AQ550="2",BH550,0)</f>
      </c>
      <c r="AG550" s="116">
        <f>IF(AQ550="2",BI550,0)</f>
      </c>
      <c r="AH550" s="116">
        <f>IF(AQ550="0",BJ550,0)</f>
      </c>
      <c r="AI550" s="131" t="s">
        <v>113</v>
      </c>
      <c r="AJ550" s="116">
        <f>IF(AN550=0,J550,0)</f>
      </c>
      <c r="AK550" s="116">
        <f>IF(AN550=12,J550,0)</f>
      </c>
      <c r="AL550" s="116">
        <f>IF(AN550=21,J550,0)</f>
      </c>
      <c r="AN550" s="116" t="n">
        <v>21</v>
      </c>
      <c r="AO550" s="116">
        <f>G550*0</f>
      </c>
      <c r="AP550" s="116">
        <f>G550*(1-0)</f>
      </c>
      <c r="AQ550" s="150" t="s">
        <v>93</v>
      </c>
      <c r="AV550" s="116">
        <f>AW550+AX550</f>
      </c>
      <c r="AW550" s="116">
        <f>F550*AO550</f>
      </c>
      <c r="AX550" s="116">
        <f>F550*AP550</f>
      </c>
      <c r="AY550" s="150" t="s">
        <v>260</v>
      </c>
      <c r="AZ550" s="150" t="s">
        <v>886</v>
      </c>
      <c r="BA550" s="131" t="s">
        <v>745</v>
      </c>
      <c r="BC550" s="116">
        <f>AW550+AX550</f>
      </c>
      <c r="BD550" s="116">
        <f>G550/(100-BE550)*100</f>
      </c>
      <c r="BE550" s="116" t="n">
        <v>0</v>
      </c>
      <c r="BF550" s="116">
        <f>550</f>
      </c>
      <c r="BH550" s="116">
        <f>F550*AO550</f>
      </c>
      <c r="BI550" s="116">
        <f>F550*AP550</f>
      </c>
      <c r="BJ550" s="116">
        <f>F550*G550</f>
      </c>
      <c r="BK550" s="116"/>
      <c r="BL550" s="116"/>
      <c r="BW550" s="116" t="n">
        <v>21</v>
      </c>
      <c r="BX550" s="14" t="s">
        <v>902</v>
      </c>
    </row>
    <row r="551">
      <c r="A551" s="151"/>
      <c r="C551" s="152" t="s">
        <v>897</v>
      </c>
      <c r="D551" s="152" t="s">
        <v>4</v>
      </c>
      <c r="F551" s="153" t="n">
        <v>4.2</v>
      </c>
      <c r="K551" s="154"/>
    </row>
    <row r="552">
      <c r="A552" s="9" t="s">
        <v>903</v>
      </c>
      <c r="B552" s="10" t="s">
        <v>904</v>
      </c>
      <c r="C552" s="14" t="s">
        <v>905</v>
      </c>
      <c r="D552" s="10"/>
      <c r="E552" s="10" t="s">
        <v>259</v>
      </c>
      <c r="F552" s="116" t="n">
        <v>4.2</v>
      </c>
      <c r="G552" s="116" t="n">
        <v>0</v>
      </c>
      <c r="H552" s="116">
        <f>F552*AO552</f>
      </c>
      <c r="I552" s="116">
        <f>F552*AP552</f>
      </c>
      <c r="J552" s="116">
        <f>F552*G552</f>
      </c>
      <c r="K552" s="149" t="s">
        <v>202</v>
      </c>
      <c r="Z552" s="116">
        <f>IF(AQ552="5",BJ552,0)</f>
      </c>
      <c r="AB552" s="116">
        <f>IF(AQ552="1",BH552,0)</f>
      </c>
      <c r="AC552" s="116">
        <f>IF(AQ552="1",BI552,0)</f>
      </c>
      <c r="AD552" s="116">
        <f>IF(AQ552="7",BH552,0)</f>
      </c>
      <c r="AE552" s="116">
        <f>IF(AQ552="7",BI552,0)</f>
      </c>
      <c r="AF552" s="116">
        <f>IF(AQ552="2",BH552,0)</f>
      </c>
      <c r="AG552" s="116">
        <f>IF(AQ552="2",BI552,0)</f>
      </c>
      <c r="AH552" s="116">
        <f>IF(AQ552="0",BJ552,0)</f>
      </c>
      <c r="AI552" s="131" t="s">
        <v>113</v>
      </c>
      <c r="AJ552" s="116">
        <f>IF(AN552=0,J552,0)</f>
      </c>
      <c r="AK552" s="116">
        <f>IF(AN552=12,J552,0)</f>
      </c>
      <c r="AL552" s="116">
        <f>IF(AN552=21,J552,0)</f>
      </c>
      <c r="AN552" s="116" t="n">
        <v>21</v>
      </c>
      <c r="AO552" s="116">
        <f>G552*0</f>
      </c>
      <c r="AP552" s="116">
        <f>G552*(1-0)</f>
      </c>
      <c r="AQ552" s="150" t="s">
        <v>93</v>
      </c>
      <c r="AV552" s="116">
        <f>AW552+AX552</f>
      </c>
      <c r="AW552" s="116">
        <f>F552*AO552</f>
      </c>
      <c r="AX552" s="116">
        <f>F552*AP552</f>
      </c>
      <c r="AY552" s="150" t="s">
        <v>260</v>
      </c>
      <c r="AZ552" s="150" t="s">
        <v>886</v>
      </c>
      <c r="BA552" s="131" t="s">
        <v>745</v>
      </c>
      <c r="BC552" s="116">
        <f>AW552+AX552</f>
      </c>
      <c r="BD552" s="116">
        <f>G552/(100-BE552)*100</f>
      </c>
      <c r="BE552" s="116" t="n">
        <v>0</v>
      </c>
      <c r="BF552" s="116">
        <f>552</f>
      </c>
      <c r="BH552" s="116">
        <f>F552*AO552</f>
      </c>
      <c r="BI552" s="116">
        <f>F552*AP552</f>
      </c>
      <c r="BJ552" s="116">
        <f>F552*G552</f>
      </c>
      <c r="BK552" s="116"/>
      <c r="BL552" s="116"/>
      <c r="BW552" s="116" t="n">
        <v>21</v>
      </c>
      <c r="BX552" s="14" t="s">
        <v>905</v>
      </c>
    </row>
    <row r="553">
      <c r="A553" s="151"/>
      <c r="C553" s="152" t="s">
        <v>897</v>
      </c>
      <c r="D553" s="152" t="s">
        <v>4</v>
      </c>
      <c r="F553" s="153" t="n">
        <v>4.2</v>
      </c>
      <c r="K553" s="154"/>
    </row>
    <row r="554">
      <c r="A554" s="144" t="s">
        <v>4</v>
      </c>
      <c r="B554" s="145" t="s">
        <v>661</v>
      </c>
      <c r="C554" s="146" t="s">
        <v>36</v>
      </c>
      <c r="D554" s="145"/>
      <c r="E554" s="147" t="s">
        <v>79</v>
      </c>
      <c r="F554" s="147" t="s">
        <v>79</v>
      </c>
      <c r="G554" s="147" t="s">
        <v>79</v>
      </c>
      <c r="H554" s="123">
        <f>SUM(H555:H601)</f>
      </c>
      <c r="I554" s="123">
        <f>SUM(I555:I601)</f>
      </c>
      <c r="J554" s="123">
        <f>SUM(J555:J601)</f>
      </c>
      <c r="K554" s="148" t="s">
        <v>4</v>
      </c>
      <c r="AI554" s="131" t="s">
        <v>113</v>
      </c>
      <c r="AS554" s="123">
        <f>SUM(AJ555:AJ601)</f>
      </c>
      <c r="AT554" s="123">
        <f>SUM(AK555:AK601)</f>
      </c>
      <c r="AU554" s="123">
        <f>SUM(AL555:AL601)</f>
      </c>
    </row>
    <row r="555">
      <c r="A555" s="158" t="s">
        <v>906</v>
      </c>
      <c r="B555" s="159" t="s">
        <v>907</v>
      </c>
      <c r="C555" s="160" t="s">
        <v>908</v>
      </c>
      <c r="D555" s="159"/>
      <c r="E555" s="159" t="s">
        <v>838</v>
      </c>
      <c r="F555" s="161" t="n">
        <v>1</v>
      </c>
      <c r="G555" s="161" t="n">
        <v>0</v>
      </c>
      <c r="H555" s="161">
        <f>F555*AO555</f>
      </c>
      <c r="I555" s="161">
        <f>F555*AP555</f>
      </c>
      <c r="J555" s="161">
        <f>F555*G555</f>
      </c>
      <c r="K555" s="162" t="s">
        <v>909</v>
      </c>
      <c r="Z555" s="116">
        <f>IF(AQ555="5",BJ555,0)</f>
      </c>
      <c r="AB555" s="116">
        <f>IF(AQ555="1",BH555,0)</f>
      </c>
      <c r="AC555" s="116">
        <f>IF(AQ555="1",BI555,0)</f>
      </c>
      <c r="AD555" s="116">
        <f>IF(AQ555="7",BH555,0)</f>
      </c>
      <c r="AE555" s="116">
        <f>IF(AQ555="7",BI555,0)</f>
      </c>
      <c r="AF555" s="116">
        <f>IF(AQ555="2",BH555,0)</f>
      </c>
      <c r="AG555" s="116">
        <f>IF(AQ555="2",BI555,0)</f>
      </c>
      <c r="AH555" s="116">
        <f>IF(AQ555="0",BJ555,0)</f>
      </c>
      <c r="AI555" s="131" t="s">
        <v>113</v>
      </c>
      <c r="AJ555" s="161">
        <f>IF(AN555=0,J555,0)</f>
      </c>
      <c r="AK555" s="161">
        <f>IF(AN555=12,J555,0)</f>
      </c>
      <c r="AL555" s="161">
        <f>IF(AN555=21,J555,0)</f>
      </c>
      <c r="AN555" s="116" t="n">
        <v>21</v>
      </c>
      <c r="AO555" s="116">
        <f>G555*1</f>
      </c>
      <c r="AP555" s="116">
        <f>G555*(1-1)</f>
      </c>
      <c r="AQ555" s="163" t="s">
        <v>664</v>
      </c>
      <c r="AV555" s="116">
        <f>AW555+AX555</f>
      </c>
      <c r="AW555" s="116">
        <f>F555*AO555</f>
      </c>
      <c r="AX555" s="116">
        <f>F555*AP555</f>
      </c>
      <c r="AY555" s="150" t="s">
        <v>665</v>
      </c>
      <c r="AZ555" s="150" t="s">
        <v>910</v>
      </c>
      <c r="BA555" s="131" t="s">
        <v>745</v>
      </c>
      <c r="BC555" s="116">
        <f>AW555+AX555</f>
      </c>
      <c r="BD555" s="116">
        <f>G555/(100-BE555)*100</f>
      </c>
      <c r="BE555" s="116" t="n">
        <v>0</v>
      </c>
      <c r="BF555" s="116">
        <f>555</f>
      </c>
      <c r="BH555" s="161">
        <f>F555*AO555</f>
      </c>
      <c r="BI555" s="161">
        <f>F555*AP555</f>
      </c>
      <c r="BJ555" s="161">
        <f>F555*G555</f>
      </c>
      <c r="BK555" s="161"/>
      <c r="BL555" s="116"/>
      <c r="BW555" s="116" t="n">
        <v>21</v>
      </c>
      <c r="BX555" s="160" t="s">
        <v>908</v>
      </c>
    </row>
    <row r="556">
      <c r="A556" s="151"/>
      <c r="C556" s="152" t="s">
        <v>88</v>
      </c>
      <c r="D556" s="152" t="s">
        <v>4</v>
      </c>
      <c r="F556" s="153" t="n">
        <v>1</v>
      </c>
      <c r="K556" s="154"/>
    </row>
    <row r="557">
      <c r="A557" s="151"/>
      <c r="B557" s="157" t="s">
        <v>177</v>
      </c>
      <c r="C557" s="155" t="s">
        <v>911</v>
      </c>
      <c r="D557" s="152"/>
      <c r="E557" s="152"/>
      <c r="F557" s="152"/>
      <c r="G557" s="152"/>
      <c r="H557" s="152"/>
      <c r="I557" s="152"/>
      <c r="J557" s="152"/>
      <c r="K557" s="156"/>
      <c r="BX557" s="164" t="s">
        <v>911</v>
      </c>
    </row>
    <row r="558">
      <c r="A558" s="158" t="s">
        <v>912</v>
      </c>
      <c r="B558" s="159" t="s">
        <v>913</v>
      </c>
      <c r="C558" s="160" t="s">
        <v>914</v>
      </c>
      <c r="D558" s="159"/>
      <c r="E558" s="159" t="s">
        <v>463</v>
      </c>
      <c r="F558" s="161" t="n">
        <v>1</v>
      </c>
      <c r="G558" s="161" t="n">
        <v>0</v>
      </c>
      <c r="H558" s="161">
        <f>F558*AO558</f>
      </c>
      <c r="I558" s="161">
        <f>F558*AP558</f>
      </c>
      <c r="J558" s="161">
        <f>F558*G558</f>
      </c>
      <c r="K558" s="162" t="s">
        <v>464</v>
      </c>
      <c r="Z558" s="116">
        <f>IF(AQ558="5",BJ558,0)</f>
      </c>
      <c r="AB558" s="116">
        <f>IF(AQ558="1",BH558,0)</f>
      </c>
      <c r="AC558" s="116">
        <f>IF(AQ558="1",BI558,0)</f>
      </c>
      <c r="AD558" s="116">
        <f>IF(AQ558="7",BH558,0)</f>
      </c>
      <c r="AE558" s="116">
        <f>IF(AQ558="7",BI558,0)</f>
      </c>
      <c r="AF558" s="116">
        <f>IF(AQ558="2",BH558,0)</f>
      </c>
      <c r="AG558" s="116">
        <f>IF(AQ558="2",BI558,0)</f>
      </c>
      <c r="AH558" s="116">
        <f>IF(AQ558="0",BJ558,0)</f>
      </c>
      <c r="AI558" s="131" t="s">
        <v>113</v>
      </c>
      <c r="AJ558" s="161">
        <f>IF(AN558=0,J558,0)</f>
      </c>
      <c r="AK558" s="161">
        <f>IF(AN558=12,J558,0)</f>
      </c>
      <c r="AL558" s="161">
        <f>IF(AN558=21,J558,0)</f>
      </c>
      <c r="AN558" s="116" t="n">
        <v>21</v>
      </c>
      <c r="AO558" s="116">
        <f>G558*1</f>
      </c>
      <c r="AP558" s="116">
        <f>G558*(1-1)</f>
      </c>
      <c r="AQ558" s="163" t="s">
        <v>664</v>
      </c>
      <c r="AV558" s="116">
        <f>AW558+AX558</f>
      </c>
      <c r="AW558" s="116">
        <f>F558*AO558</f>
      </c>
      <c r="AX558" s="116">
        <f>F558*AP558</f>
      </c>
      <c r="AY558" s="150" t="s">
        <v>665</v>
      </c>
      <c r="AZ558" s="150" t="s">
        <v>910</v>
      </c>
      <c r="BA558" s="131" t="s">
        <v>745</v>
      </c>
      <c r="BC558" s="116">
        <f>AW558+AX558</f>
      </c>
      <c r="BD558" s="116">
        <f>G558/(100-BE558)*100</f>
      </c>
      <c r="BE558" s="116" t="n">
        <v>0</v>
      </c>
      <c r="BF558" s="116">
        <f>558</f>
      </c>
      <c r="BH558" s="161">
        <f>F558*AO558</f>
      </c>
      <c r="BI558" s="161">
        <f>F558*AP558</f>
      </c>
      <c r="BJ558" s="161">
        <f>F558*G558</f>
      </c>
      <c r="BK558" s="161"/>
      <c r="BL558" s="116"/>
      <c r="BW558" s="116" t="n">
        <v>21</v>
      </c>
      <c r="BX558" s="160" t="s">
        <v>914</v>
      </c>
    </row>
    <row r="559">
      <c r="A559" s="151"/>
      <c r="C559" s="152" t="s">
        <v>88</v>
      </c>
      <c r="D559" s="152" t="s">
        <v>4</v>
      </c>
      <c r="F559" s="153" t="n">
        <v>1</v>
      </c>
      <c r="K559" s="154"/>
    </row>
    <row r="560">
      <c r="A560" s="151"/>
      <c r="B560" s="157" t="s">
        <v>177</v>
      </c>
      <c r="C560" s="155" t="s">
        <v>915</v>
      </c>
      <c r="D560" s="152"/>
      <c r="E560" s="152"/>
      <c r="F560" s="152"/>
      <c r="G560" s="152"/>
      <c r="H560" s="152"/>
      <c r="I560" s="152"/>
      <c r="J560" s="152"/>
      <c r="K560" s="156"/>
      <c r="BX560" s="164" t="s">
        <v>915</v>
      </c>
    </row>
    <row r="561" customHeight="true" ht="324">
      <c r="A561" s="151"/>
      <c r="B561" s="157" t="s">
        <v>56</v>
      </c>
      <c r="C561" s="155" t="s">
        <v>916</v>
      </c>
      <c r="D561" s="152"/>
      <c r="E561" s="152"/>
      <c r="F561" s="152"/>
      <c r="G561" s="152"/>
      <c r="H561" s="152"/>
      <c r="I561" s="152"/>
      <c r="J561" s="152"/>
      <c r="K561" s="156"/>
    </row>
    <row r="562">
      <c r="A562" s="158" t="s">
        <v>917</v>
      </c>
      <c r="B562" s="159" t="s">
        <v>918</v>
      </c>
      <c r="C562" s="160" t="s">
        <v>919</v>
      </c>
      <c r="D562" s="159"/>
      <c r="E562" s="159" t="s">
        <v>463</v>
      </c>
      <c r="F562" s="161" t="n">
        <v>6</v>
      </c>
      <c r="G562" s="161" t="n">
        <v>0</v>
      </c>
      <c r="H562" s="161">
        <f>F562*AO562</f>
      </c>
      <c r="I562" s="161">
        <f>F562*AP562</f>
      </c>
      <c r="J562" s="161">
        <f>F562*G562</f>
      </c>
      <c r="K562" s="162" t="s">
        <v>464</v>
      </c>
      <c r="Z562" s="116">
        <f>IF(AQ562="5",BJ562,0)</f>
      </c>
      <c r="AB562" s="116">
        <f>IF(AQ562="1",BH562,0)</f>
      </c>
      <c r="AC562" s="116">
        <f>IF(AQ562="1",BI562,0)</f>
      </c>
      <c r="AD562" s="116">
        <f>IF(AQ562="7",BH562,0)</f>
      </c>
      <c r="AE562" s="116">
        <f>IF(AQ562="7",BI562,0)</f>
      </c>
      <c r="AF562" s="116">
        <f>IF(AQ562="2",BH562,0)</f>
      </c>
      <c r="AG562" s="116">
        <f>IF(AQ562="2",BI562,0)</f>
      </c>
      <c r="AH562" s="116">
        <f>IF(AQ562="0",BJ562,0)</f>
      </c>
      <c r="AI562" s="131" t="s">
        <v>113</v>
      </c>
      <c r="AJ562" s="161">
        <f>IF(AN562=0,J562,0)</f>
      </c>
      <c r="AK562" s="161">
        <f>IF(AN562=12,J562,0)</f>
      </c>
      <c r="AL562" s="161">
        <f>IF(AN562=21,J562,0)</f>
      </c>
      <c r="AN562" s="116" t="n">
        <v>21</v>
      </c>
      <c r="AO562" s="116">
        <f>G562*1</f>
      </c>
      <c r="AP562" s="116">
        <f>G562*(1-1)</f>
      </c>
      <c r="AQ562" s="163" t="s">
        <v>664</v>
      </c>
      <c r="AV562" s="116">
        <f>AW562+AX562</f>
      </c>
      <c r="AW562" s="116">
        <f>F562*AO562</f>
      </c>
      <c r="AX562" s="116">
        <f>F562*AP562</f>
      </c>
      <c r="AY562" s="150" t="s">
        <v>665</v>
      </c>
      <c r="AZ562" s="150" t="s">
        <v>910</v>
      </c>
      <c r="BA562" s="131" t="s">
        <v>745</v>
      </c>
      <c r="BC562" s="116">
        <f>AW562+AX562</f>
      </c>
      <c r="BD562" s="116">
        <f>G562/(100-BE562)*100</f>
      </c>
      <c r="BE562" s="116" t="n">
        <v>0</v>
      </c>
      <c r="BF562" s="116">
        <f>562</f>
      </c>
      <c r="BH562" s="161">
        <f>F562*AO562</f>
      </c>
      <c r="BI562" s="161">
        <f>F562*AP562</f>
      </c>
      <c r="BJ562" s="161">
        <f>F562*G562</f>
      </c>
      <c r="BK562" s="161"/>
      <c r="BL562" s="116"/>
      <c r="BW562" s="116" t="n">
        <v>21</v>
      </c>
      <c r="BX562" s="160" t="s">
        <v>919</v>
      </c>
    </row>
    <row r="563">
      <c r="A563" s="151"/>
      <c r="C563" s="152" t="s">
        <v>189</v>
      </c>
      <c r="D563" s="152" t="s">
        <v>4</v>
      </c>
      <c r="F563" s="153" t="n">
        <v>6</v>
      </c>
      <c r="K563" s="154"/>
    </row>
    <row r="564">
      <c r="A564" s="151"/>
      <c r="B564" s="157" t="s">
        <v>177</v>
      </c>
      <c r="C564" s="155" t="s">
        <v>920</v>
      </c>
      <c r="D564" s="152"/>
      <c r="E564" s="152"/>
      <c r="F564" s="152"/>
      <c r="G564" s="152"/>
      <c r="H564" s="152"/>
      <c r="I564" s="152"/>
      <c r="J564" s="152"/>
      <c r="K564" s="156"/>
      <c r="BX564" s="164" t="s">
        <v>920</v>
      </c>
    </row>
    <row r="565">
      <c r="A565" s="158" t="s">
        <v>921</v>
      </c>
      <c r="B565" s="159" t="s">
        <v>922</v>
      </c>
      <c r="C565" s="160" t="s">
        <v>923</v>
      </c>
      <c r="D565" s="159"/>
      <c r="E565" s="159" t="s">
        <v>463</v>
      </c>
      <c r="F565" s="161" t="n">
        <v>1</v>
      </c>
      <c r="G565" s="161" t="n">
        <v>0</v>
      </c>
      <c r="H565" s="161">
        <f>F565*AO565</f>
      </c>
      <c r="I565" s="161">
        <f>F565*AP565</f>
      </c>
      <c r="J565" s="161">
        <f>F565*G565</f>
      </c>
      <c r="K565" s="162" t="s">
        <v>159</v>
      </c>
      <c r="Z565" s="116">
        <f>IF(AQ565="5",BJ565,0)</f>
      </c>
      <c r="AB565" s="116">
        <f>IF(AQ565="1",BH565,0)</f>
      </c>
      <c r="AC565" s="116">
        <f>IF(AQ565="1",BI565,0)</f>
      </c>
      <c r="AD565" s="116">
        <f>IF(AQ565="7",BH565,0)</f>
      </c>
      <c r="AE565" s="116">
        <f>IF(AQ565="7",BI565,0)</f>
      </c>
      <c r="AF565" s="116">
        <f>IF(AQ565="2",BH565,0)</f>
      </c>
      <c r="AG565" s="116">
        <f>IF(AQ565="2",BI565,0)</f>
      </c>
      <c r="AH565" s="116">
        <f>IF(AQ565="0",BJ565,0)</f>
      </c>
      <c r="AI565" s="131" t="s">
        <v>113</v>
      </c>
      <c r="AJ565" s="161">
        <f>IF(AN565=0,J565,0)</f>
      </c>
      <c r="AK565" s="161">
        <f>IF(AN565=12,J565,0)</f>
      </c>
      <c r="AL565" s="161">
        <f>IF(AN565=21,J565,0)</f>
      </c>
      <c r="AN565" s="116" t="n">
        <v>21</v>
      </c>
      <c r="AO565" s="116">
        <f>G565*1</f>
      </c>
      <c r="AP565" s="116">
        <f>G565*(1-1)</f>
      </c>
      <c r="AQ565" s="163" t="s">
        <v>664</v>
      </c>
      <c r="AV565" s="116">
        <f>AW565+AX565</f>
      </c>
      <c r="AW565" s="116">
        <f>F565*AO565</f>
      </c>
      <c r="AX565" s="116">
        <f>F565*AP565</f>
      </c>
      <c r="AY565" s="150" t="s">
        <v>665</v>
      </c>
      <c r="AZ565" s="150" t="s">
        <v>910</v>
      </c>
      <c r="BA565" s="131" t="s">
        <v>745</v>
      </c>
      <c r="BC565" s="116">
        <f>AW565+AX565</f>
      </c>
      <c r="BD565" s="116">
        <f>G565/(100-BE565)*100</f>
      </c>
      <c r="BE565" s="116" t="n">
        <v>0</v>
      </c>
      <c r="BF565" s="116">
        <f>565</f>
      </c>
      <c r="BH565" s="161">
        <f>F565*AO565</f>
      </c>
      <c r="BI565" s="161">
        <f>F565*AP565</f>
      </c>
      <c r="BJ565" s="161">
        <f>F565*G565</f>
      </c>
      <c r="BK565" s="161"/>
      <c r="BL565" s="116"/>
      <c r="BW565" s="116" t="n">
        <v>21</v>
      </c>
      <c r="BX565" s="160" t="s">
        <v>923</v>
      </c>
    </row>
    <row r="566">
      <c r="A566" s="151"/>
      <c r="C566" s="152" t="s">
        <v>88</v>
      </c>
      <c r="D566" s="152" t="s">
        <v>4</v>
      </c>
      <c r="F566" s="153" t="n">
        <v>1</v>
      </c>
      <c r="K566" s="154"/>
    </row>
    <row r="567">
      <c r="A567" s="151"/>
      <c r="B567" s="157" t="s">
        <v>177</v>
      </c>
      <c r="C567" s="155" t="s">
        <v>924</v>
      </c>
      <c r="D567" s="152"/>
      <c r="E567" s="152"/>
      <c r="F567" s="152"/>
      <c r="G567" s="152"/>
      <c r="H567" s="152"/>
      <c r="I567" s="152"/>
      <c r="J567" s="152"/>
      <c r="K567" s="156"/>
      <c r="BX567" s="164" t="s">
        <v>924</v>
      </c>
    </row>
    <row r="568">
      <c r="A568" s="158" t="s">
        <v>925</v>
      </c>
      <c r="B568" s="159" t="s">
        <v>926</v>
      </c>
      <c r="C568" s="160" t="s">
        <v>927</v>
      </c>
      <c r="D568" s="159"/>
      <c r="E568" s="159" t="s">
        <v>463</v>
      </c>
      <c r="F568" s="161" t="n">
        <v>1</v>
      </c>
      <c r="G568" s="161" t="n">
        <v>0</v>
      </c>
      <c r="H568" s="161">
        <f>F568*AO568</f>
      </c>
      <c r="I568" s="161">
        <f>F568*AP568</f>
      </c>
      <c r="J568" s="161">
        <f>F568*G568</f>
      </c>
      <c r="K568" s="162" t="s">
        <v>159</v>
      </c>
      <c r="Z568" s="116">
        <f>IF(AQ568="5",BJ568,0)</f>
      </c>
      <c r="AB568" s="116">
        <f>IF(AQ568="1",BH568,0)</f>
      </c>
      <c r="AC568" s="116">
        <f>IF(AQ568="1",BI568,0)</f>
      </c>
      <c r="AD568" s="116">
        <f>IF(AQ568="7",BH568,0)</f>
      </c>
      <c r="AE568" s="116">
        <f>IF(AQ568="7",BI568,0)</f>
      </c>
      <c r="AF568" s="116">
        <f>IF(AQ568="2",BH568,0)</f>
      </c>
      <c r="AG568" s="116">
        <f>IF(AQ568="2",BI568,0)</f>
      </c>
      <c r="AH568" s="116">
        <f>IF(AQ568="0",BJ568,0)</f>
      </c>
      <c r="AI568" s="131" t="s">
        <v>113</v>
      </c>
      <c r="AJ568" s="161">
        <f>IF(AN568=0,J568,0)</f>
      </c>
      <c r="AK568" s="161">
        <f>IF(AN568=12,J568,0)</f>
      </c>
      <c r="AL568" s="161">
        <f>IF(AN568=21,J568,0)</f>
      </c>
      <c r="AN568" s="116" t="n">
        <v>21</v>
      </c>
      <c r="AO568" s="116">
        <f>G568*1</f>
      </c>
      <c r="AP568" s="116">
        <f>G568*(1-1)</f>
      </c>
      <c r="AQ568" s="163" t="s">
        <v>664</v>
      </c>
      <c r="AV568" s="116">
        <f>AW568+AX568</f>
      </c>
      <c r="AW568" s="116">
        <f>F568*AO568</f>
      </c>
      <c r="AX568" s="116">
        <f>F568*AP568</f>
      </c>
      <c r="AY568" s="150" t="s">
        <v>665</v>
      </c>
      <c r="AZ568" s="150" t="s">
        <v>910</v>
      </c>
      <c r="BA568" s="131" t="s">
        <v>745</v>
      </c>
      <c r="BC568" s="116">
        <f>AW568+AX568</f>
      </c>
      <c r="BD568" s="116">
        <f>G568/(100-BE568)*100</f>
      </c>
      <c r="BE568" s="116" t="n">
        <v>0</v>
      </c>
      <c r="BF568" s="116">
        <f>568</f>
      </c>
      <c r="BH568" s="161">
        <f>F568*AO568</f>
      </c>
      <c r="BI568" s="161">
        <f>F568*AP568</f>
      </c>
      <c r="BJ568" s="161">
        <f>F568*G568</f>
      </c>
      <c r="BK568" s="161"/>
      <c r="BL568" s="116"/>
      <c r="BW568" s="116" t="n">
        <v>21</v>
      </c>
      <c r="BX568" s="160" t="s">
        <v>927</v>
      </c>
    </row>
    <row r="569">
      <c r="A569" s="151"/>
      <c r="C569" s="152" t="s">
        <v>88</v>
      </c>
      <c r="D569" s="152" t="s">
        <v>4</v>
      </c>
      <c r="F569" s="153" t="n">
        <v>1</v>
      </c>
      <c r="K569" s="154"/>
    </row>
    <row r="570">
      <c r="A570" s="151"/>
      <c r="B570" s="157" t="s">
        <v>177</v>
      </c>
      <c r="C570" s="155" t="s">
        <v>928</v>
      </c>
      <c r="D570" s="152"/>
      <c r="E570" s="152"/>
      <c r="F570" s="152"/>
      <c r="G570" s="152"/>
      <c r="H570" s="152"/>
      <c r="I570" s="152"/>
      <c r="J570" s="152"/>
      <c r="K570" s="156"/>
      <c r="BX570" s="164" t="s">
        <v>928</v>
      </c>
    </row>
    <row r="571">
      <c r="A571" s="158" t="s">
        <v>929</v>
      </c>
      <c r="B571" s="159" t="s">
        <v>930</v>
      </c>
      <c r="C571" s="160" t="s">
        <v>931</v>
      </c>
      <c r="D571" s="159"/>
      <c r="E571" s="159" t="s">
        <v>463</v>
      </c>
      <c r="F571" s="161" t="n">
        <v>7</v>
      </c>
      <c r="G571" s="161" t="n">
        <v>0</v>
      </c>
      <c r="H571" s="161">
        <f>F571*AO571</f>
      </c>
      <c r="I571" s="161">
        <f>F571*AP571</f>
      </c>
      <c r="J571" s="161">
        <f>F571*G571</f>
      </c>
      <c r="K571" s="162" t="s">
        <v>159</v>
      </c>
      <c r="Z571" s="116">
        <f>IF(AQ571="5",BJ571,0)</f>
      </c>
      <c r="AB571" s="116">
        <f>IF(AQ571="1",BH571,0)</f>
      </c>
      <c r="AC571" s="116">
        <f>IF(AQ571="1",BI571,0)</f>
      </c>
      <c r="AD571" s="116">
        <f>IF(AQ571="7",BH571,0)</f>
      </c>
      <c r="AE571" s="116">
        <f>IF(AQ571="7",BI571,0)</f>
      </c>
      <c r="AF571" s="116">
        <f>IF(AQ571="2",BH571,0)</f>
      </c>
      <c r="AG571" s="116">
        <f>IF(AQ571="2",BI571,0)</f>
      </c>
      <c r="AH571" s="116">
        <f>IF(AQ571="0",BJ571,0)</f>
      </c>
      <c r="AI571" s="131" t="s">
        <v>113</v>
      </c>
      <c r="AJ571" s="161">
        <f>IF(AN571=0,J571,0)</f>
      </c>
      <c r="AK571" s="161">
        <f>IF(AN571=12,J571,0)</f>
      </c>
      <c r="AL571" s="161">
        <f>IF(AN571=21,J571,0)</f>
      </c>
      <c r="AN571" s="116" t="n">
        <v>21</v>
      </c>
      <c r="AO571" s="116">
        <f>G571*1</f>
      </c>
      <c r="AP571" s="116">
        <f>G571*(1-1)</f>
      </c>
      <c r="AQ571" s="163" t="s">
        <v>664</v>
      </c>
      <c r="AV571" s="116">
        <f>AW571+AX571</f>
      </c>
      <c r="AW571" s="116">
        <f>F571*AO571</f>
      </c>
      <c r="AX571" s="116">
        <f>F571*AP571</f>
      </c>
      <c r="AY571" s="150" t="s">
        <v>665</v>
      </c>
      <c r="AZ571" s="150" t="s">
        <v>910</v>
      </c>
      <c r="BA571" s="131" t="s">
        <v>745</v>
      </c>
      <c r="BC571" s="116">
        <f>AW571+AX571</f>
      </c>
      <c r="BD571" s="116">
        <f>G571/(100-BE571)*100</f>
      </c>
      <c r="BE571" s="116" t="n">
        <v>0</v>
      </c>
      <c r="BF571" s="116">
        <f>571</f>
      </c>
      <c r="BH571" s="161">
        <f>F571*AO571</f>
      </c>
      <c r="BI571" s="161">
        <f>F571*AP571</f>
      </c>
      <c r="BJ571" s="161">
        <f>F571*G571</f>
      </c>
      <c r="BK571" s="161"/>
      <c r="BL571" s="116"/>
      <c r="BW571" s="116" t="n">
        <v>21</v>
      </c>
      <c r="BX571" s="160" t="s">
        <v>931</v>
      </c>
    </row>
    <row r="572">
      <c r="A572" s="151"/>
      <c r="C572" s="152" t="s">
        <v>932</v>
      </c>
      <c r="D572" s="152" t="s">
        <v>4</v>
      </c>
      <c r="F572" s="153" t="n">
        <v>7</v>
      </c>
      <c r="K572" s="154"/>
    </row>
    <row r="573">
      <c r="A573" s="151"/>
      <c r="B573" s="157" t="s">
        <v>177</v>
      </c>
      <c r="C573" s="155" t="s">
        <v>933</v>
      </c>
      <c r="D573" s="152"/>
      <c r="E573" s="152"/>
      <c r="F573" s="152"/>
      <c r="G573" s="152"/>
      <c r="H573" s="152"/>
      <c r="I573" s="152"/>
      <c r="J573" s="152"/>
      <c r="K573" s="156"/>
      <c r="BX573" s="164" t="s">
        <v>933</v>
      </c>
    </row>
    <row r="574">
      <c r="A574" s="158" t="s">
        <v>934</v>
      </c>
      <c r="B574" s="159" t="s">
        <v>935</v>
      </c>
      <c r="C574" s="160" t="s">
        <v>936</v>
      </c>
      <c r="D574" s="159"/>
      <c r="E574" s="159" t="s">
        <v>216</v>
      </c>
      <c r="F574" s="161" t="n">
        <v>133.1</v>
      </c>
      <c r="G574" s="161" t="n">
        <v>0</v>
      </c>
      <c r="H574" s="161">
        <f>F574*AO574</f>
      </c>
      <c r="I574" s="161">
        <f>F574*AP574</f>
      </c>
      <c r="J574" s="161">
        <f>F574*G574</f>
      </c>
      <c r="K574" s="162" t="s">
        <v>202</v>
      </c>
      <c r="Z574" s="116">
        <f>IF(AQ574="5",BJ574,0)</f>
      </c>
      <c r="AB574" s="116">
        <f>IF(AQ574="1",BH574,0)</f>
      </c>
      <c r="AC574" s="116">
        <f>IF(AQ574="1",BI574,0)</f>
      </c>
      <c r="AD574" s="116">
        <f>IF(AQ574="7",BH574,0)</f>
      </c>
      <c r="AE574" s="116">
        <f>IF(AQ574="7",BI574,0)</f>
      </c>
      <c r="AF574" s="116">
        <f>IF(AQ574="2",BH574,0)</f>
      </c>
      <c r="AG574" s="116">
        <f>IF(AQ574="2",BI574,0)</f>
      </c>
      <c r="AH574" s="116">
        <f>IF(AQ574="0",BJ574,0)</f>
      </c>
      <c r="AI574" s="131" t="s">
        <v>113</v>
      </c>
      <c r="AJ574" s="161">
        <f>IF(AN574=0,J574,0)</f>
      </c>
      <c r="AK574" s="161">
        <f>IF(AN574=12,J574,0)</f>
      </c>
      <c r="AL574" s="161">
        <f>IF(AN574=21,J574,0)</f>
      </c>
      <c r="AN574" s="116" t="n">
        <v>21</v>
      </c>
      <c r="AO574" s="116">
        <f>G574*1</f>
      </c>
      <c r="AP574" s="116">
        <f>G574*(1-1)</f>
      </c>
      <c r="AQ574" s="163" t="s">
        <v>664</v>
      </c>
      <c r="AV574" s="116">
        <f>AW574+AX574</f>
      </c>
      <c r="AW574" s="116">
        <f>F574*AO574</f>
      </c>
      <c r="AX574" s="116">
        <f>F574*AP574</f>
      </c>
      <c r="AY574" s="150" t="s">
        <v>665</v>
      </c>
      <c r="AZ574" s="150" t="s">
        <v>910</v>
      </c>
      <c r="BA574" s="131" t="s">
        <v>745</v>
      </c>
      <c r="BC574" s="116">
        <f>AW574+AX574</f>
      </c>
      <c r="BD574" s="116">
        <f>G574/(100-BE574)*100</f>
      </c>
      <c r="BE574" s="116" t="n">
        <v>0</v>
      </c>
      <c r="BF574" s="116">
        <f>574</f>
      </c>
      <c r="BH574" s="161">
        <f>F574*AO574</f>
      </c>
      <c r="BI574" s="161">
        <f>F574*AP574</f>
      </c>
      <c r="BJ574" s="161">
        <f>F574*G574</f>
      </c>
      <c r="BK574" s="161"/>
      <c r="BL574" s="116"/>
      <c r="BW574" s="116" t="n">
        <v>21</v>
      </c>
      <c r="BX574" s="160" t="s">
        <v>936</v>
      </c>
    </row>
    <row r="575">
      <c r="A575" s="151"/>
      <c r="C575" s="152" t="s">
        <v>937</v>
      </c>
      <c r="D575" s="152" t="s">
        <v>4</v>
      </c>
      <c r="F575" s="153" t="n">
        <v>121</v>
      </c>
      <c r="K575" s="154"/>
    </row>
    <row r="576">
      <c r="A576" s="151"/>
      <c r="C576" s="152" t="s">
        <v>938</v>
      </c>
      <c r="D576" s="152" t="s">
        <v>4</v>
      </c>
      <c r="F576" s="153" t="n">
        <v>12.1</v>
      </c>
      <c r="K576" s="154"/>
    </row>
    <row r="577" ht="24.75">
      <c r="A577" s="151"/>
      <c r="B577" s="157" t="s">
        <v>177</v>
      </c>
      <c r="C577" s="155" t="s">
        <v>939</v>
      </c>
      <c r="D577" s="152"/>
      <c r="E577" s="152"/>
      <c r="F577" s="152"/>
      <c r="G577" s="152"/>
      <c r="H577" s="152"/>
      <c r="I577" s="152"/>
      <c r="J577" s="152"/>
      <c r="K577" s="156"/>
      <c r="BX577" s="164" t="s">
        <v>939</v>
      </c>
    </row>
    <row r="578">
      <c r="A578" s="158" t="s">
        <v>940</v>
      </c>
      <c r="B578" s="159" t="s">
        <v>941</v>
      </c>
      <c r="C578" s="160" t="s">
        <v>942</v>
      </c>
      <c r="D578" s="159"/>
      <c r="E578" s="159" t="s">
        <v>216</v>
      </c>
      <c r="F578" s="161" t="n">
        <v>62.7</v>
      </c>
      <c r="G578" s="161" t="n">
        <v>0</v>
      </c>
      <c r="H578" s="161">
        <f>F578*AO578</f>
      </c>
      <c r="I578" s="161">
        <f>F578*AP578</f>
      </c>
      <c r="J578" s="161">
        <f>F578*G578</f>
      </c>
      <c r="K578" s="162" t="s">
        <v>159</v>
      </c>
      <c r="Z578" s="116">
        <f>IF(AQ578="5",BJ578,0)</f>
      </c>
      <c r="AB578" s="116">
        <f>IF(AQ578="1",BH578,0)</f>
      </c>
      <c r="AC578" s="116">
        <f>IF(AQ578="1",BI578,0)</f>
      </c>
      <c r="AD578" s="116">
        <f>IF(AQ578="7",BH578,0)</f>
      </c>
      <c r="AE578" s="116">
        <f>IF(AQ578="7",BI578,0)</f>
      </c>
      <c r="AF578" s="116">
        <f>IF(AQ578="2",BH578,0)</f>
      </c>
      <c r="AG578" s="116">
        <f>IF(AQ578="2",BI578,0)</f>
      </c>
      <c r="AH578" s="116">
        <f>IF(AQ578="0",BJ578,0)</f>
      </c>
      <c r="AI578" s="131" t="s">
        <v>113</v>
      </c>
      <c r="AJ578" s="161">
        <f>IF(AN578=0,J578,0)</f>
      </c>
      <c r="AK578" s="161">
        <f>IF(AN578=12,J578,0)</f>
      </c>
      <c r="AL578" s="161">
        <f>IF(AN578=21,J578,0)</f>
      </c>
      <c r="AN578" s="116" t="n">
        <v>21</v>
      </c>
      <c r="AO578" s="116">
        <f>G578*1</f>
      </c>
      <c r="AP578" s="116">
        <f>G578*(1-1)</f>
      </c>
      <c r="AQ578" s="163" t="s">
        <v>664</v>
      </c>
      <c r="AV578" s="116">
        <f>AW578+AX578</f>
      </c>
      <c r="AW578" s="116">
        <f>F578*AO578</f>
      </c>
      <c r="AX578" s="116">
        <f>F578*AP578</f>
      </c>
      <c r="AY578" s="150" t="s">
        <v>665</v>
      </c>
      <c r="AZ578" s="150" t="s">
        <v>910</v>
      </c>
      <c r="BA578" s="131" t="s">
        <v>745</v>
      </c>
      <c r="BC578" s="116">
        <f>AW578+AX578</f>
      </c>
      <c r="BD578" s="116">
        <f>G578/(100-BE578)*100</f>
      </c>
      <c r="BE578" s="116" t="n">
        <v>0</v>
      </c>
      <c r="BF578" s="116">
        <f>578</f>
      </c>
      <c r="BH578" s="161">
        <f>F578*AO578</f>
      </c>
      <c r="BI578" s="161">
        <f>F578*AP578</f>
      </c>
      <c r="BJ578" s="161">
        <f>F578*G578</f>
      </c>
      <c r="BK578" s="161"/>
      <c r="BL578" s="116"/>
      <c r="BW578" s="116" t="n">
        <v>21</v>
      </c>
      <c r="BX578" s="160" t="s">
        <v>942</v>
      </c>
    </row>
    <row r="579">
      <c r="A579" s="151"/>
      <c r="C579" s="152" t="s">
        <v>484</v>
      </c>
      <c r="D579" s="152" t="s">
        <v>4</v>
      </c>
      <c r="F579" s="153" t="n">
        <v>57</v>
      </c>
      <c r="K579" s="154"/>
    </row>
    <row r="580">
      <c r="A580" s="151"/>
      <c r="C580" s="152" t="s">
        <v>943</v>
      </c>
      <c r="D580" s="152" t="s">
        <v>4</v>
      </c>
      <c r="F580" s="153" t="n">
        <v>5.7</v>
      </c>
      <c r="K580" s="154"/>
    </row>
    <row r="581" ht="24.75">
      <c r="A581" s="151"/>
      <c r="B581" s="157" t="s">
        <v>177</v>
      </c>
      <c r="C581" s="155" t="s">
        <v>944</v>
      </c>
      <c r="D581" s="152"/>
      <c r="E581" s="152"/>
      <c r="F581" s="152"/>
      <c r="G581" s="152"/>
      <c r="H581" s="152"/>
      <c r="I581" s="152"/>
      <c r="J581" s="152"/>
      <c r="K581" s="156"/>
      <c r="BX581" s="164" t="s">
        <v>944</v>
      </c>
    </row>
    <row r="582">
      <c r="A582" s="158" t="s">
        <v>945</v>
      </c>
      <c r="B582" s="159" t="s">
        <v>946</v>
      </c>
      <c r="C582" s="160" t="s">
        <v>947</v>
      </c>
      <c r="D582" s="159"/>
      <c r="E582" s="159" t="s">
        <v>216</v>
      </c>
      <c r="F582" s="161" t="n">
        <v>133.1</v>
      </c>
      <c r="G582" s="161" t="n">
        <v>0</v>
      </c>
      <c r="H582" s="161">
        <f>F582*AO582</f>
      </c>
      <c r="I582" s="161">
        <f>F582*AP582</f>
      </c>
      <c r="J582" s="161">
        <f>F582*G582</f>
      </c>
      <c r="K582" s="162" t="s">
        <v>202</v>
      </c>
      <c r="Z582" s="116">
        <f>IF(AQ582="5",BJ582,0)</f>
      </c>
      <c r="AB582" s="116">
        <f>IF(AQ582="1",BH582,0)</f>
      </c>
      <c r="AC582" s="116">
        <f>IF(AQ582="1",BI582,0)</f>
      </c>
      <c r="AD582" s="116">
        <f>IF(AQ582="7",BH582,0)</f>
      </c>
      <c r="AE582" s="116">
        <f>IF(AQ582="7",BI582,0)</f>
      </c>
      <c r="AF582" s="116">
        <f>IF(AQ582="2",BH582,0)</f>
      </c>
      <c r="AG582" s="116">
        <f>IF(AQ582="2",BI582,0)</f>
      </c>
      <c r="AH582" s="116">
        <f>IF(AQ582="0",BJ582,0)</f>
      </c>
      <c r="AI582" s="131" t="s">
        <v>113</v>
      </c>
      <c r="AJ582" s="161">
        <f>IF(AN582=0,J582,0)</f>
      </c>
      <c r="AK582" s="161">
        <f>IF(AN582=12,J582,0)</f>
      </c>
      <c r="AL582" s="161">
        <f>IF(AN582=21,J582,0)</f>
      </c>
      <c r="AN582" s="116" t="n">
        <v>21</v>
      </c>
      <c r="AO582" s="116">
        <f>G582*1</f>
      </c>
      <c r="AP582" s="116">
        <f>G582*(1-1)</f>
      </c>
      <c r="AQ582" s="163" t="s">
        <v>664</v>
      </c>
      <c r="AV582" s="116">
        <f>AW582+AX582</f>
      </c>
      <c r="AW582" s="116">
        <f>F582*AO582</f>
      </c>
      <c r="AX582" s="116">
        <f>F582*AP582</f>
      </c>
      <c r="AY582" s="150" t="s">
        <v>665</v>
      </c>
      <c r="AZ582" s="150" t="s">
        <v>910</v>
      </c>
      <c r="BA582" s="131" t="s">
        <v>745</v>
      </c>
      <c r="BC582" s="116">
        <f>AW582+AX582</f>
      </c>
      <c r="BD582" s="116">
        <f>G582/(100-BE582)*100</f>
      </c>
      <c r="BE582" s="116" t="n">
        <v>0</v>
      </c>
      <c r="BF582" s="116">
        <f>582</f>
      </c>
      <c r="BH582" s="161">
        <f>F582*AO582</f>
      </c>
      <c r="BI582" s="161">
        <f>F582*AP582</f>
      </c>
      <c r="BJ582" s="161">
        <f>F582*G582</f>
      </c>
      <c r="BK582" s="161"/>
      <c r="BL582" s="116"/>
      <c r="BW582" s="116" t="n">
        <v>21</v>
      </c>
      <c r="BX582" s="160" t="s">
        <v>947</v>
      </c>
    </row>
    <row r="583">
      <c r="A583" s="151"/>
      <c r="C583" s="152" t="s">
        <v>779</v>
      </c>
      <c r="D583" s="152" t="s">
        <v>4</v>
      </c>
      <c r="F583" s="153" t="n">
        <v>121</v>
      </c>
      <c r="K583" s="154"/>
    </row>
    <row r="584">
      <c r="A584" s="151"/>
      <c r="C584" s="152" t="s">
        <v>938</v>
      </c>
      <c r="D584" s="152" t="s">
        <v>4</v>
      </c>
      <c r="F584" s="153" t="n">
        <v>12.1</v>
      </c>
      <c r="K584" s="154"/>
    </row>
    <row r="585" ht="24.75">
      <c r="A585" s="151"/>
      <c r="B585" s="157" t="s">
        <v>177</v>
      </c>
      <c r="C585" s="155" t="s">
        <v>948</v>
      </c>
      <c r="D585" s="152"/>
      <c r="E585" s="152"/>
      <c r="F585" s="152"/>
      <c r="G585" s="152"/>
      <c r="H585" s="152"/>
      <c r="I585" s="152"/>
      <c r="J585" s="152"/>
      <c r="K585" s="156"/>
      <c r="BX585" s="164" t="s">
        <v>948</v>
      </c>
    </row>
    <row r="586">
      <c r="A586" s="158" t="s">
        <v>949</v>
      </c>
      <c r="B586" s="159" t="s">
        <v>950</v>
      </c>
      <c r="C586" s="160" t="s">
        <v>951</v>
      </c>
      <c r="D586" s="159"/>
      <c r="E586" s="159" t="s">
        <v>463</v>
      </c>
      <c r="F586" s="161" t="n">
        <v>7</v>
      </c>
      <c r="G586" s="161" t="n">
        <v>0</v>
      </c>
      <c r="H586" s="161">
        <f>F586*AO586</f>
      </c>
      <c r="I586" s="161">
        <f>F586*AP586</f>
      </c>
      <c r="J586" s="161">
        <f>F586*G586</f>
      </c>
      <c r="K586" s="162" t="s">
        <v>159</v>
      </c>
      <c r="Z586" s="116">
        <f>IF(AQ586="5",BJ586,0)</f>
      </c>
      <c r="AB586" s="116">
        <f>IF(AQ586="1",BH586,0)</f>
      </c>
      <c r="AC586" s="116">
        <f>IF(AQ586="1",BI586,0)</f>
      </c>
      <c r="AD586" s="116">
        <f>IF(AQ586="7",BH586,0)</f>
      </c>
      <c r="AE586" s="116">
        <f>IF(AQ586="7",BI586,0)</f>
      </c>
      <c r="AF586" s="116">
        <f>IF(AQ586="2",BH586,0)</f>
      </c>
      <c r="AG586" s="116">
        <f>IF(AQ586="2",BI586,0)</f>
      </c>
      <c r="AH586" s="116">
        <f>IF(AQ586="0",BJ586,0)</f>
      </c>
      <c r="AI586" s="131" t="s">
        <v>113</v>
      </c>
      <c r="AJ586" s="161">
        <f>IF(AN586=0,J586,0)</f>
      </c>
      <c r="AK586" s="161">
        <f>IF(AN586=12,J586,0)</f>
      </c>
      <c r="AL586" s="161">
        <f>IF(AN586=21,J586,0)</f>
      </c>
      <c r="AN586" s="116" t="n">
        <v>21</v>
      </c>
      <c r="AO586" s="116">
        <f>G586*1</f>
      </c>
      <c r="AP586" s="116">
        <f>G586*(1-1)</f>
      </c>
      <c r="AQ586" s="163" t="s">
        <v>664</v>
      </c>
      <c r="AV586" s="116">
        <f>AW586+AX586</f>
      </c>
      <c r="AW586" s="116">
        <f>F586*AO586</f>
      </c>
      <c r="AX586" s="116">
        <f>F586*AP586</f>
      </c>
      <c r="AY586" s="150" t="s">
        <v>665</v>
      </c>
      <c r="AZ586" s="150" t="s">
        <v>910</v>
      </c>
      <c r="BA586" s="131" t="s">
        <v>745</v>
      </c>
      <c r="BC586" s="116">
        <f>AW586+AX586</f>
      </c>
      <c r="BD586" s="116">
        <f>G586/(100-BE586)*100</f>
      </c>
      <c r="BE586" s="116" t="n">
        <v>0</v>
      </c>
      <c r="BF586" s="116">
        <f>586</f>
      </c>
      <c r="BH586" s="161">
        <f>F586*AO586</f>
      </c>
      <c r="BI586" s="161">
        <f>F586*AP586</f>
      </c>
      <c r="BJ586" s="161">
        <f>F586*G586</f>
      </c>
      <c r="BK586" s="161"/>
      <c r="BL586" s="116"/>
      <c r="BW586" s="116" t="n">
        <v>21</v>
      </c>
      <c r="BX586" s="160" t="s">
        <v>951</v>
      </c>
    </row>
    <row r="587">
      <c r="A587" s="151"/>
      <c r="C587" s="152" t="s">
        <v>199</v>
      </c>
      <c r="D587" s="152" t="s">
        <v>4</v>
      </c>
      <c r="F587" s="153" t="n">
        <v>7</v>
      </c>
      <c r="K587" s="154"/>
    </row>
    <row r="588" ht="24.75">
      <c r="A588" s="151"/>
      <c r="B588" s="157" t="s">
        <v>177</v>
      </c>
      <c r="C588" s="155" t="s">
        <v>952</v>
      </c>
      <c r="D588" s="152"/>
      <c r="E588" s="152"/>
      <c r="F588" s="152"/>
      <c r="G588" s="152"/>
      <c r="H588" s="152"/>
      <c r="I588" s="152"/>
      <c r="J588" s="152"/>
      <c r="K588" s="156"/>
      <c r="BX588" s="164" t="s">
        <v>952</v>
      </c>
    </row>
    <row r="589">
      <c r="A589" s="158" t="s">
        <v>953</v>
      </c>
      <c r="B589" s="159" t="s">
        <v>954</v>
      </c>
      <c r="C589" s="160" t="s">
        <v>955</v>
      </c>
      <c r="D589" s="159"/>
      <c r="E589" s="159" t="s">
        <v>463</v>
      </c>
      <c r="F589" s="161" t="n">
        <v>6</v>
      </c>
      <c r="G589" s="161" t="n">
        <v>0</v>
      </c>
      <c r="H589" s="161">
        <f>F589*AO589</f>
      </c>
      <c r="I589" s="161">
        <f>F589*AP589</f>
      </c>
      <c r="J589" s="161">
        <f>F589*G589</f>
      </c>
      <c r="K589" s="162" t="s">
        <v>159</v>
      </c>
      <c r="Z589" s="116">
        <f>IF(AQ589="5",BJ589,0)</f>
      </c>
      <c r="AB589" s="116">
        <f>IF(AQ589="1",BH589,0)</f>
      </c>
      <c r="AC589" s="116">
        <f>IF(AQ589="1",BI589,0)</f>
      </c>
      <c r="AD589" s="116">
        <f>IF(AQ589="7",BH589,0)</f>
      </c>
      <c r="AE589" s="116">
        <f>IF(AQ589="7",BI589,0)</f>
      </c>
      <c r="AF589" s="116">
        <f>IF(AQ589="2",BH589,0)</f>
      </c>
      <c r="AG589" s="116">
        <f>IF(AQ589="2",BI589,0)</f>
      </c>
      <c r="AH589" s="116">
        <f>IF(AQ589="0",BJ589,0)</f>
      </c>
      <c r="AI589" s="131" t="s">
        <v>113</v>
      </c>
      <c r="AJ589" s="161">
        <f>IF(AN589=0,J589,0)</f>
      </c>
      <c r="AK589" s="161">
        <f>IF(AN589=12,J589,0)</f>
      </c>
      <c r="AL589" s="161">
        <f>IF(AN589=21,J589,0)</f>
      </c>
      <c r="AN589" s="116" t="n">
        <v>21</v>
      </c>
      <c r="AO589" s="116">
        <f>G589*1</f>
      </c>
      <c r="AP589" s="116">
        <f>G589*(1-1)</f>
      </c>
      <c r="AQ589" s="163" t="s">
        <v>664</v>
      </c>
      <c r="AV589" s="116">
        <f>AW589+AX589</f>
      </c>
      <c r="AW589" s="116">
        <f>F589*AO589</f>
      </c>
      <c r="AX589" s="116">
        <f>F589*AP589</f>
      </c>
      <c r="AY589" s="150" t="s">
        <v>665</v>
      </c>
      <c r="AZ589" s="150" t="s">
        <v>910</v>
      </c>
      <c r="BA589" s="131" t="s">
        <v>745</v>
      </c>
      <c r="BC589" s="116">
        <f>AW589+AX589</f>
      </c>
      <c r="BD589" s="116">
        <f>G589/(100-BE589)*100</f>
      </c>
      <c r="BE589" s="116" t="n">
        <v>0</v>
      </c>
      <c r="BF589" s="116">
        <f>589</f>
      </c>
      <c r="BH589" s="161">
        <f>F589*AO589</f>
      </c>
      <c r="BI589" s="161">
        <f>F589*AP589</f>
      </c>
      <c r="BJ589" s="161">
        <f>F589*G589</f>
      </c>
      <c r="BK589" s="161"/>
      <c r="BL589" s="116"/>
      <c r="BW589" s="116" t="n">
        <v>21</v>
      </c>
      <c r="BX589" s="160" t="s">
        <v>955</v>
      </c>
    </row>
    <row r="590">
      <c r="A590" s="151"/>
      <c r="C590" s="152" t="s">
        <v>189</v>
      </c>
      <c r="D590" s="152" t="s">
        <v>4</v>
      </c>
      <c r="F590" s="153" t="n">
        <v>6</v>
      </c>
      <c r="K590" s="154"/>
    </row>
    <row r="591" ht="24.75">
      <c r="A591" s="151"/>
      <c r="B591" s="157" t="s">
        <v>177</v>
      </c>
      <c r="C591" s="155" t="s">
        <v>952</v>
      </c>
      <c r="D591" s="152"/>
      <c r="E591" s="152"/>
      <c r="F591" s="152"/>
      <c r="G591" s="152"/>
      <c r="H591" s="152"/>
      <c r="I591" s="152"/>
      <c r="J591" s="152"/>
      <c r="K591" s="156"/>
      <c r="BX591" s="164" t="s">
        <v>952</v>
      </c>
    </row>
    <row r="592">
      <c r="A592" s="158" t="s">
        <v>956</v>
      </c>
      <c r="B592" s="159" t="s">
        <v>957</v>
      </c>
      <c r="C592" s="160" t="s">
        <v>958</v>
      </c>
      <c r="D592" s="159"/>
      <c r="E592" s="159" t="s">
        <v>463</v>
      </c>
      <c r="F592" s="161" t="n">
        <v>6</v>
      </c>
      <c r="G592" s="161" t="n">
        <v>0</v>
      </c>
      <c r="H592" s="161">
        <f>F592*AO592</f>
      </c>
      <c r="I592" s="161">
        <f>F592*AP592</f>
      </c>
      <c r="J592" s="161">
        <f>F592*G592</f>
      </c>
      <c r="K592" s="162" t="s">
        <v>159</v>
      </c>
      <c r="Z592" s="116">
        <f>IF(AQ592="5",BJ592,0)</f>
      </c>
      <c r="AB592" s="116">
        <f>IF(AQ592="1",BH592,0)</f>
      </c>
      <c r="AC592" s="116">
        <f>IF(AQ592="1",BI592,0)</f>
      </c>
      <c r="AD592" s="116">
        <f>IF(AQ592="7",BH592,0)</f>
      </c>
      <c r="AE592" s="116">
        <f>IF(AQ592="7",BI592,0)</f>
      </c>
      <c r="AF592" s="116">
        <f>IF(AQ592="2",BH592,0)</f>
      </c>
      <c r="AG592" s="116">
        <f>IF(AQ592="2",BI592,0)</f>
      </c>
      <c r="AH592" s="116">
        <f>IF(AQ592="0",BJ592,0)</f>
      </c>
      <c r="AI592" s="131" t="s">
        <v>113</v>
      </c>
      <c r="AJ592" s="161">
        <f>IF(AN592=0,J592,0)</f>
      </c>
      <c r="AK592" s="161">
        <f>IF(AN592=12,J592,0)</f>
      </c>
      <c r="AL592" s="161">
        <f>IF(AN592=21,J592,0)</f>
      </c>
      <c r="AN592" s="116" t="n">
        <v>21</v>
      </c>
      <c r="AO592" s="116">
        <f>G592*1</f>
      </c>
      <c r="AP592" s="116">
        <f>G592*(1-1)</f>
      </c>
      <c r="AQ592" s="163" t="s">
        <v>664</v>
      </c>
      <c r="AV592" s="116">
        <f>AW592+AX592</f>
      </c>
      <c r="AW592" s="116">
        <f>F592*AO592</f>
      </c>
      <c r="AX592" s="116">
        <f>F592*AP592</f>
      </c>
      <c r="AY592" s="150" t="s">
        <v>665</v>
      </c>
      <c r="AZ592" s="150" t="s">
        <v>910</v>
      </c>
      <c r="BA592" s="131" t="s">
        <v>745</v>
      </c>
      <c r="BC592" s="116">
        <f>AW592+AX592</f>
      </c>
      <c r="BD592" s="116">
        <f>G592/(100-BE592)*100</f>
      </c>
      <c r="BE592" s="116" t="n">
        <v>0</v>
      </c>
      <c r="BF592" s="116">
        <f>592</f>
      </c>
      <c r="BH592" s="161">
        <f>F592*AO592</f>
      </c>
      <c r="BI592" s="161">
        <f>F592*AP592</f>
      </c>
      <c r="BJ592" s="161">
        <f>F592*G592</f>
      </c>
      <c r="BK592" s="161"/>
      <c r="BL592" s="116"/>
      <c r="BW592" s="116" t="n">
        <v>21</v>
      </c>
      <c r="BX592" s="160" t="s">
        <v>958</v>
      </c>
    </row>
    <row r="593">
      <c r="A593" s="151"/>
      <c r="C593" s="152" t="s">
        <v>189</v>
      </c>
      <c r="D593" s="152" t="s">
        <v>4</v>
      </c>
      <c r="F593" s="153" t="n">
        <v>6</v>
      </c>
      <c r="K593" s="154"/>
    </row>
    <row r="594" ht="24.75">
      <c r="A594" s="151"/>
      <c r="B594" s="157" t="s">
        <v>177</v>
      </c>
      <c r="C594" s="155" t="s">
        <v>952</v>
      </c>
      <c r="D594" s="152"/>
      <c r="E594" s="152"/>
      <c r="F594" s="152"/>
      <c r="G594" s="152"/>
      <c r="H594" s="152"/>
      <c r="I594" s="152"/>
      <c r="J594" s="152"/>
      <c r="K594" s="156"/>
      <c r="BX594" s="164" t="s">
        <v>952</v>
      </c>
    </row>
    <row r="595">
      <c r="A595" s="158" t="s">
        <v>959</v>
      </c>
      <c r="B595" s="159" t="s">
        <v>960</v>
      </c>
      <c r="C595" s="160" t="s">
        <v>961</v>
      </c>
      <c r="D595" s="159"/>
      <c r="E595" s="159" t="s">
        <v>463</v>
      </c>
      <c r="F595" s="161" t="n">
        <v>1</v>
      </c>
      <c r="G595" s="161" t="n">
        <v>0</v>
      </c>
      <c r="H595" s="161">
        <f>F595*AO595</f>
      </c>
      <c r="I595" s="161">
        <f>F595*AP595</f>
      </c>
      <c r="J595" s="161">
        <f>F595*G595</f>
      </c>
      <c r="K595" s="162" t="s">
        <v>159</v>
      </c>
      <c r="Z595" s="116">
        <f>IF(AQ595="5",BJ595,0)</f>
      </c>
      <c r="AB595" s="116">
        <f>IF(AQ595="1",BH595,0)</f>
      </c>
      <c r="AC595" s="116">
        <f>IF(AQ595="1",BI595,0)</f>
      </c>
      <c r="AD595" s="116">
        <f>IF(AQ595="7",BH595,0)</f>
      </c>
      <c r="AE595" s="116">
        <f>IF(AQ595="7",BI595,0)</f>
      </c>
      <c r="AF595" s="116">
        <f>IF(AQ595="2",BH595,0)</f>
      </c>
      <c r="AG595" s="116">
        <f>IF(AQ595="2",BI595,0)</f>
      </c>
      <c r="AH595" s="116">
        <f>IF(AQ595="0",BJ595,0)</f>
      </c>
      <c r="AI595" s="131" t="s">
        <v>113</v>
      </c>
      <c r="AJ595" s="161">
        <f>IF(AN595=0,J595,0)</f>
      </c>
      <c r="AK595" s="161">
        <f>IF(AN595=12,J595,0)</f>
      </c>
      <c r="AL595" s="161">
        <f>IF(AN595=21,J595,0)</f>
      </c>
      <c r="AN595" s="116" t="n">
        <v>21</v>
      </c>
      <c r="AO595" s="116">
        <f>G595*1</f>
      </c>
      <c r="AP595" s="116">
        <f>G595*(1-1)</f>
      </c>
      <c r="AQ595" s="163" t="s">
        <v>664</v>
      </c>
      <c r="AV595" s="116">
        <f>AW595+AX595</f>
      </c>
      <c r="AW595" s="116">
        <f>F595*AO595</f>
      </c>
      <c r="AX595" s="116">
        <f>F595*AP595</f>
      </c>
      <c r="AY595" s="150" t="s">
        <v>665</v>
      </c>
      <c r="AZ595" s="150" t="s">
        <v>910</v>
      </c>
      <c r="BA595" s="131" t="s">
        <v>745</v>
      </c>
      <c r="BC595" s="116">
        <f>AW595+AX595</f>
      </c>
      <c r="BD595" s="116">
        <f>G595/(100-BE595)*100</f>
      </c>
      <c r="BE595" s="116" t="n">
        <v>0</v>
      </c>
      <c r="BF595" s="116">
        <f>595</f>
      </c>
      <c r="BH595" s="161">
        <f>F595*AO595</f>
      </c>
      <c r="BI595" s="161">
        <f>F595*AP595</f>
      </c>
      <c r="BJ595" s="161">
        <f>F595*G595</f>
      </c>
      <c r="BK595" s="161"/>
      <c r="BL595" s="116"/>
      <c r="BW595" s="116" t="n">
        <v>21</v>
      </c>
      <c r="BX595" s="160" t="s">
        <v>961</v>
      </c>
    </row>
    <row r="596">
      <c r="A596" s="151"/>
      <c r="C596" s="152" t="s">
        <v>88</v>
      </c>
      <c r="D596" s="152" t="s">
        <v>4</v>
      </c>
      <c r="F596" s="153" t="n">
        <v>1</v>
      </c>
      <c r="K596" s="154"/>
    </row>
    <row r="597" ht="48.75">
      <c r="A597" s="151"/>
      <c r="B597" s="157" t="s">
        <v>177</v>
      </c>
      <c r="C597" s="155" t="s">
        <v>962</v>
      </c>
      <c r="D597" s="152"/>
      <c r="E597" s="152"/>
      <c r="F597" s="152"/>
      <c r="G597" s="152"/>
      <c r="H597" s="152"/>
      <c r="I597" s="152"/>
      <c r="J597" s="152"/>
      <c r="K597" s="156"/>
      <c r="BX597" s="164" t="s">
        <v>962</v>
      </c>
    </row>
    <row r="598">
      <c r="A598" s="158" t="s">
        <v>963</v>
      </c>
      <c r="B598" s="159" t="s">
        <v>964</v>
      </c>
      <c r="C598" s="160" t="s">
        <v>965</v>
      </c>
      <c r="D598" s="159"/>
      <c r="E598" s="159" t="s">
        <v>463</v>
      </c>
      <c r="F598" s="161" t="n">
        <v>1</v>
      </c>
      <c r="G598" s="161" t="n">
        <v>0</v>
      </c>
      <c r="H598" s="161">
        <f>F598*AO598</f>
      </c>
      <c r="I598" s="161">
        <f>F598*AP598</f>
      </c>
      <c r="J598" s="161">
        <f>F598*G598</f>
      </c>
      <c r="K598" s="162" t="s">
        <v>159</v>
      </c>
      <c r="Z598" s="116">
        <f>IF(AQ598="5",BJ598,0)</f>
      </c>
      <c r="AB598" s="116">
        <f>IF(AQ598="1",BH598,0)</f>
      </c>
      <c r="AC598" s="116">
        <f>IF(AQ598="1",BI598,0)</f>
      </c>
      <c r="AD598" s="116">
        <f>IF(AQ598="7",BH598,0)</f>
      </c>
      <c r="AE598" s="116">
        <f>IF(AQ598="7",BI598,0)</f>
      </c>
      <c r="AF598" s="116">
        <f>IF(AQ598="2",BH598,0)</f>
      </c>
      <c r="AG598" s="116">
        <f>IF(AQ598="2",BI598,0)</f>
      </c>
      <c r="AH598" s="116">
        <f>IF(AQ598="0",BJ598,0)</f>
      </c>
      <c r="AI598" s="131" t="s">
        <v>113</v>
      </c>
      <c r="AJ598" s="161">
        <f>IF(AN598=0,J598,0)</f>
      </c>
      <c r="AK598" s="161">
        <f>IF(AN598=12,J598,0)</f>
      </c>
      <c r="AL598" s="161">
        <f>IF(AN598=21,J598,0)</f>
      </c>
      <c r="AN598" s="116" t="n">
        <v>21</v>
      </c>
      <c r="AO598" s="116">
        <f>G598*1</f>
      </c>
      <c r="AP598" s="116">
        <f>G598*(1-1)</f>
      </c>
      <c r="AQ598" s="163" t="s">
        <v>664</v>
      </c>
      <c r="AV598" s="116">
        <f>AW598+AX598</f>
      </c>
      <c r="AW598" s="116">
        <f>F598*AO598</f>
      </c>
      <c r="AX598" s="116">
        <f>F598*AP598</f>
      </c>
      <c r="AY598" s="150" t="s">
        <v>665</v>
      </c>
      <c r="AZ598" s="150" t="s">
        <v>910</v>
      </c>
      <c r="BA598" s="131" t="s">
        <v>745</v>
      </c>
      <c r="BC598" s="116">
        <f>AW598+AX598</f>
      </c>
      <c r="BD598" s="116">
        <f>G598/(100-BE598)*100</f>
      </c>
      <c r="BE598" s="116" t="n">
        <v>0</v>
      </c>
      <c r="BF598" s="116">
        <f>598</f>
      </c>
      <c r="BH598" s="161">
        <f>F598*AO598</f>
      </c>
      <c r="BI598" s="161">
        <f>F598*AP598</f>
      </c>
      <c r="BJ598" s="161">
        <f>F598*G598</f>
      </c>
      <c r="BK598" s="161"/>
      <c r="BL598" s="116"/>
      <c r="BW598" s="116" t="n">
        <v>21</v>
      </c>
      <c r="BX598" s="160" t="s">
        <v>965</v>
      </c>
    </row>
    <row r="599">
      <c r="A599" s="151"/>
      <c r="C599" s="152" t="s">
        <v>88</v>
      </c>
      <c r="D599" s="152" t="s">
        <v>4</v>
      </c>
      <c r="F599" s="153" t="n">
        <v>1</v>
      </c>
      <c r="K599" s="154"/>
    </row>
    <row r="600" ht="36.75">
      <c r="A600" s="151"/>
      <c r="B600" s="157" t="s">
        <v>177</v>
      </c>
      <c r="C600" s="155" t="s">
        <v>966</v>
      </c>
      <c r="D600" s="152"/>
      <c r="E600" s="152"/>
      <c r="F600" s="152"/>
      <c r="G600" s="152"/>
      <c r="H600" s="152"/>
      <c r="I600" s="152"/>
      <c r="J600" s="152"/>
      <c r="K600" s="156"/>
      <c r="BX600" s="164" t="s">
        <v>966</v>
      </c>
    </row>
    <row r="601">
      <c r="A601" s="158" t="s">
        <v>967</v>
      </c>
      <c r="B601" s="159" t="s">
        <v>968</v>
      </c>
      <c r="C601" s="160" t="s">
        <v>969</v>
      </c>
      <c r="D601" s="159"/>
      <c r="E601" s="159" t="s">
        <v>216</v>
      </c>
      <c r="F601" s="161" t="n">
        <v>275</v>
      </c>
      <c r="G601" s="161" t="n">
        <v>0</v>
      </c>
      <c r="H601" s="161">
        <f>F601*AO601</f>
      </c>
      <c r="I601" s="161">
        <f>F601*AP601</f>
      </c>
      <c r="J601" s="161">
        <f>F601*G601</f>
      </c>
      <c r="K601" s="162" t="s">
        <v>159</v>
      </c>
      <c r="Z601" s="116">
        <f>IF(AQ601="5",BJ601,0)</f>
      </c>
      <c r="AB601" s="116">
        <f>IF(AQ601="1",BH601,0)</f>
      </c>
      <c r="AC601" s="116">
        <f>IF(AQ601="1",BI601,0)</f>
      </c>
      <c r="AD601" s="116">
        <f>IF(AQ601="7",BH601,0)</f>
      </c>
      <c r="AE601" s="116">
        <f>IF(AQ601="7",BI601,0)</f>
      </c>
      <c r="AF601" s="116">
        <f>IF(AQ601="2",BH601,0)</f>
      </c>
      <c r="AG601" s="116">
        <f>IF(AQ601="2",BI601,0)</f>
      </c>
      <c r="AH601" s="116">
        <f>IF(AQ601="0",BJ601,0)</f>
      </c>
      <c r="AI601" s="131" t="s">
        <v>113</v>
      </c>
      <c r="AJ601" s="161">
        <f>IF(AN601=0,J601,0)</f>
      </c>
      <c r="AK601" s="161">
        <f>IF(AN601=12,J601,0)</f>
      </c>
      <c r="AL601" s="161">
        <f>IF(AN601=21,J601,0)</f>
      </c>
      <c r="AN601" s="116" t="n">
        <v>21</v>
      </c>
      <c r="AO601" s="116">
        <f>G601*1</f>
      </c>
      <c r="AP601" s="116">
        <f>G601*(1-1)</f>
      </c>
      <c r="AQ601" s="163" t="s">
        <v>664</v>
      </c>
      <c r="AV601" s="116">
        <f>AW601+AX601</f>
      </c>
      <c r="AW601" s="116">
        <f>F601*AO601</f>
      </c>
      <c r="AX601" s="116">
        <f>F601*AP601</f>
      </c>
      <c r="AY601" s="150" t="s">
        <v>665</v>
      </c>
      <c r="AZ601" s="150" t="s">
        <v>910</v>
      </c>
      <c r="BA601" s="131" t="s">
        <v>745</v>
      </c>
      <c r="BC601" s="116">
        <f>AW601+AX601</f>
      </c>
      <c r="BD601" s="116">
        <f>G601/(100-BE601)*100</f>
      </c>
      <c r="BE601" s="116" t="n">
        <v>0</v>
      </c>
      <c r="BF601" s="116">
        <f>601</f>
      </c>
      <c r="BH601" s="161">
        <f>F601*AO601</f>
      </c>
      <c r="BI601" s="161">
        <f>F601*AP601</f>
      </c>
      <c r="BJ601" s="161">
        <f>F601*G601</f>
      </c>
      <c r="BK601" s="161"/>
      <c r="BL601" s="116"/>
      <c r="BW601" s="116" t="n">
        <v>21</v>
      </c>
      <c r="BX601" s="160" t="s">
        <v>969</v>
      </c>
    </row>
    <row r="602">
      <c r="A602" s="151"/>
      <c r="C602" s="152" t="s">
        <v>970</v>
      </c>
      <c r="D602" s="152" t="s">
        <v>4</v>
      </c>
      <c r="F602" s="153" t="n">
        <v>275</v>
      </c>
      <c r="K602" s="154"/>
    </row>
    <row r="603">
      <c r="A603" s="144" t="s">
        <v>4</v>
      </c>
      <c r="B603" s="145" t="s">
        <v>267</v>
      </c>
      <c r="C603" s="146" t="s">
        <v>57</v>
      </c>
      <c r="D603" s="145"/>
      <c r="E603" s="147" t="s">
        <v>79</v>
      </c>
      <c r="F603" s="147" t="s">
        <v>79</v>
      </c>
      <c r="G603" s="147" t="s">
        <v>79</v>
      </c>
      <c r="H603" s="123">
        <f>H604</f>
      </c>
      <c r="I603" s="123">
        <f>I604</f>
      </c>
      <c r="J603" s="123">
        <f>J604</f>
      </c>
      <c r="K603" s="148" t="s">
        <v>4</v>
      </c>
      <c r="AI603" s="131" t="s">
        <v>113</v>
      </c>
    </row>
    <row r="604">
      <c r="A604" s="144" t="s">
        <v>4</v>
      </c>
      <c r="B604" s="145" t="s">
        <v>268</v>
      </c>
      <c r="C604" s="146" t="s">
        <v>68</v>
      </c>
      <c r="D604" s="145"/>
      <c r="E604" s="147" t="s">
        <v>79</v>
      </c>
      <c r="F604" s="147" t="s">
        <v>79</v>
      </c>
      <c r="G604" s="147" t="s">
        <v>79</v>
      </c>
      <c r="H604" s="123">
        <f>SUM(H605:H608)</f>
      </c>
      <c r="I604" s="123">
        <f>SUM(I605:I608)</f>
      </c>
      <c r="J604" s="123">
        <f>SUM(J605:J608)</f>
      </c>
      <c r="K604" s="148" t="s">
        <v>4</v>
      </c>
      <c r="AI604" s="131" t="s">
        <v>113</v>
      </c>
      <c r="AS604" s="123">
        <f>SUM(AJ605:AJ608)</f>
      </c>
      <c r="AT604" s="123">
        <f>SUM(AK605:AK608)</f>
      </c>
      <c r="AU604" s="123">
        <f>SUM(AL605:AL608)</f>
      </c>
    </row>
    <row r="605">
      <c r="A605" s="9" t="s">
        <v>971</v>
      </c>
      <c r="B605" s="10" t="s">
        <v>738</v>
      </c>
      <c r="C605" s="14" t="s">
        <v>271</v>
      </c>
      <c r="D605" s="10"/>
      <c r="E605" s="10" t="s">
        <v>272</v>
      </c>
      <c r="F605" s="116" t="n">
        <v>1</v>
      </c>
      <c r="G605" s="116" t="n">
        <v>0</v>
      </c>
      <c r="H605" s="116">
        <f>F605*AO605</f>
      </c>
      <c r="I605" s="116">
        <f>F605*AP605</f>
      </c>
      <c r="J605" s="116">
        <f>F605*G605</f>
      </c>
      <c r="K605" s="149" t="s">
        <v>159</v>
      </c>
      <c r="Z605" s="116">
        <f>IF(AQ605="5",BJ605,0)</f>
      </c>
      <c r="AB605" s="116">
        <f>IF(AQ605="1",BH605,0)</f>
      </c>
      <c r="AC605" s="116">
        <f>IF(AQ605="1",BI605,0)</f>
      </c>
      <c r="AD605" s="116">
        <f>IF(AQ605="7",BH605,0)</f>
      </c>
      <c r="AE605" s="116">
        <f>IF(AQ605="7",BI605,0)</f>
      </c>
      <c r="AF605" s="116">
        <f>IF(AQ605="2",BH605,0)</f>
      </c>
      <c r="AG605" s="116">
        <f>IF(AQ605="2",BI605,0)</f>
      </c>
      <c r="AH605" s="116">
        <f>IF(AQ605="0",BJ605,0)</f>
      </c>
      <c r="AI605" s="131" t="s">
        <v>113</v>
      </c>
      <c r="AJ605" s="116">
        <f>IF(AN605=0,J605,0)</f>
      </c>
      <c r="AK605" s="116">
        <f>IF(AN605=12,J605,0)</f>
      </c>
      <c r="AL605" s="116">
        <f>IF(AN605=21,J605,0)</f>
      </c>
      <c r="AN605" s="116" t="n">
        <v>21</v>
      </c>
      <c r="AO605" s="116">
        <f>G605*0</f>
      </c>
      <c r="AP605" s="116">
        <f>G605*(1-0)</f>
      </c>
      <c r="AQ605" s="150" t="s">
        <v>273</v>
      </c>
      <c r="AV605" s="116">
        <f>AW605+AX605</f>
      </c>
      <c r="AW605" s="116">
        <f>F605*AO605</f>
      </c>
      <c r="AX605" s="116">
        <f>F605*AP605</f>
      </c>
      <c r="AY605" s="150" t="s">
        <v>274</v>
      </c>
      <c r="AZ605" s="150" t="s">
        <v>972</v>
      </c>
      <c r="BA605" s="131" t="s">
        <v>745</v>
      </c>
      <c r="BC605" s="116">
        <f>AW605+AX605</f>
      </c>
      <c r="BD605" s="116">
        <f>G605/(100-BE605)*100</f>
      </c>
      <c r="BE605" s="116" t="n">
        <v>0</v>
      </c>
      <c r="BF605" s="116">
        <f>605</f>
      </c>
      <c r="BH605" s="116">
        <f>F605*AO605</f>
      </c>
      <c r="BI605" s="116">
        <f>F605*AP605</f>
      </c>
      <c r="BJ605" s="116">
        <f>F605*G605</f>
      </c>
      <c r="BK605" s="116"/>
      <c r="BL605" s="116"/>
      <c r="BM605" s="116">
        <f>F605*G605</f>
      </c>
      <c r="BW605" s="116" t="n">
        <v>21</v>
      </c>
      <c r="BX605" s="14" t="s">
        <v>271</v>
      </c>
    </row>
    <row r="606" customHeight="true" ht="13.5">
      <c r="A606" s="151"/>
      <c r="C606" s="155" t="s">
        <v>740</v>
      </c>
      <c r="D606" s="152"/>
      <c r="E606" s="152"/>
      <c r="F606" s="152"/>
      <c r="G606" s="152"/>
      <c r="H606" s="152"/>
      <c r="I606" s="152"/>
      <c r="J606" s="152"/>
      <c r="K606" s="156"/>
    </row>
    <row r="607">
      <c r="A607" s="151"/>
      <c r="C607" s="152" t="s">
        <v>88</v>
      </c>
      <c r="D607" s="152" t="s">
        <v>4</v>
      </c>
      <c r="F607" s="153" t="n">
        <v>1</v>
      </c>
      <c r="K607" s="154"/>
    </row>
    <row r="608">
      <c r="A608" s="9" t="s">
        <v>973</v>
      </c>
      <c r="B608" s="10" t="s">
        <v>277</v>
      </c>
      <c r="C608" s="14" t="s">
        <v>278</v>
      </c>
      <c r="D608" s="10"/>
      <c r="E608" s="10" t="s">
        <v>272</v>
      </c>
      <c r="F608" s="116" t="n">
        <v>1</v>
      </c>
      <c r="G608" s="116" t="n">
        <v>0</v>
      </c>
      <c r="H608" s="116">
        <f>F608*AO608</f>
      </c>
      <c r="I608" s="116">
        <f>F608*AP608</f>
      </c>
      <c r="J608" s="116">
        <f>F608*G608</f>
      </c>
      <c r="K608" s="149" t="s">
        <v>159</v>
      </c>
      <c r="Z608" s="116">
        <f>IF(AQ608="5",BJ608,0)</f>
      </c>
      <c r="AB608" s="116">
        <f>IF(AQ608="1",BH608,0)</f>
      </c>
      <c r="AC608" s="116">
        <f>IF(AQ608="1",BI608,0)</f>
      </c>
      <c r="AD608" s="116">
        <f>IF(AQ608="7",BH608,0)</f>
      </c>
      <c r="AE608" s="116">
        <f>IF(AQ608="7",BI608,0)</f>
      </c>
      <c r="AF608" s="116">
        <f>IF(AQ608="2",BH608,0)</f>
      </c>
      <c r="AG608" s="116">
        <f>IF(AQ608="2",BI608,0)</f>
      </c>
      <c r="AH608" s="116">
        <f>IF(AQ608="0",BJ608,0)</f>
      </c>
      <c r="AI608" s="131" t="s">
        <v>113</v>
      </c>
      <c r="AJ608" s="116">
        <f>IF(AN608=0,J608,0)</f>
      </c>
      <c r="AK608" s="116">
        <f>IF(AN608=12,J608,0)</f>
      </c>
      <c r="AL608" s="116">
        <f>IF(AN608=21,J608,0)</f>
      </c>
      <c r="AN608" s="116" t="n">
        <v>21</v>
      </c>
      <c r="AO608" s="116">
        <f>G608*0</f>
      </c>
      <c r="AP608" s="116">
        <f>G608*(1-0)</f>
      </c>
      <c r="AQ608" s="150" t="s">
        <v>273</v>
      </c>
      <c r="AV608" s="116">
        <f>AW608+AX608</f>
      </c>
      <c r="AW608" s="116">
        <f>F608*AO608</f>
      </c>
      <c r="AX608" s="116">
        <f>F608*AP608</f>
      </c>
      <c r="AY608" s="150" t="s">
        <v>274</v>
      </c>
      <c r="AZ608" s="150" t="s">
        <v>972</v>
      </c>
      <c r="BA608" s="131" t="s">
        <v>745</v>
      </c>
      <c r="BC608" s="116">
        <f>AW608+AX608</f>
      </c>
      <c r="BD608" s="116">
        <f>G608/(100-BE608)*100</f>
      </c>
      <c r="BE608" s="116" t="n">
        <v>0</v>
      </c>
      <c r="BF608" s="116">
        <f>608</f>
      </c>
      <c r="BH608" s="116">
        <f>F608*AO608</f>
      </c>
      <c r="BI608" s="116">
        <f>F608*AP608</f>
      </c>
      <c r="BJ608" s="116">
        <f>F608*G608</f>
      </c>
      <c r="BK608" s="116"/>
      <c r="BL608" s="116"/>
      <c r="BM608" s="116">
        <f>F608*G608</f>
      </c>
      <c r="BW608" s="116" t="n">
        <v>21</v>
      </c>
      <c r="BX608" s="14" t="s">
        <v>278</v>
      </c>
    </row>
    <row r="609">
      <c r="A609" s="151"/>
      <c r="C609" s="152" t="s">
        <v>88</v>
      </c>
      <c r="D609" s="152" t="s">
        <v>4</v>
      </c>
      <c r="F609" s="153" t="n">
        <v>1</v>
      </c>
      <c r="K609" s="154"/>
    </row>
    <row r="610" customHeight="true" ht="40.5">
      <c r="A610" s="151"/>
      <c r="B610" s="157" t="s">
        <v>56</v>
      </c>
      <c r="C610" s="155" t="s">
        <v>974</v>
      </c>
      <c r="D610" s="152"/>
      <c r="E610" s="152"/>
      <c r="F610" s="152"/>
      <c r="G610" s="152"/>
      <c r="H610" s="152"/>
      <c r="I610" s="152"/>
      <c r="J610" s="152"/>
      <c r="K610" s="156"/>
    </row>
    <row r="611">
      <c r="A611" s="144" t="s">
        <v>4</v>
      </c>
      <c r="B611" s="145" t="s">
        <v>4</v>
      </c>
      <c r="C611" s="146" t="s">
        <v>116</v>
      </c>
      <c r="D611" s="145"/>
      <c r="E611" s="147" t="s">
        <v>79</v>
      </c>
      <c r="F611" s="147" t="s">
        <v>79</v>
      </c>
      <c r="G611" s="147" t="s">
        <v>79</v>
      </c>
      <c r="H611" s="123">
        <f>H612+H619+H623+H626+H630+H637+H659+H701+H707</f>
      </c>
      <c r="I611" s="123">
        <f>I612+I619+I623+I626+I630+I637+I659+I701+I707</f>
      </c>
      <c r="J611" s="123">
        <f>J612+J619+J623+J626+J630+J637+J659+J701+J707</f>
      </c>
      <c r="K611" s="148" t="s">
        <v>4</v>
      </c>
    </row>
    <row r="612">
      <c r="A612" s="144" t="s">
        <v>4</v>
      </c>
      <c r="B612" s="145" t="s">
        <v>154</v>
      </c>
      <c r="C612" s="146" t="s">
        <v>155</v>
      </c>
      <c r="D612" s="145"/>
      <c r="E612" s="147" t="s">
        <v>79</v>
      </c>
      <c r="F612" s="147" t="s">
        <v>79</v>
      </c>
      <c r="G612" s="147" t="s">
        <v>79</v>
      </c>
      <c r="H612" s="123">
        <f>SUM(H613:H616)</f>
      </c>
      <c r="I612" s="123">
        <f>SUM(I613:I616)</f>
      </c>
      <c r="J612" s="123">
        <f>SUM(J613:J616)</f>
      </c>
      <c r="K612" s="148" t="s">
        <v>4</v>
      </c>
      <c r="AI612" s="131" t="s">
        <v>117</v>
      </c>
      <c r="AS612" s="123">
        <f>SUM(AJ613:AJ616)</f>
      </c>
      <c r="AT612" s="123">
        <f>SUM(AK613:AK616)</f>
      </c>
      <c r="AU612" s="123">
        <f>SUM(AL613:AL616)</f>
      </c>
    </row>
    <row r="613">
      <c r="A613" s="9" t="s">
        <v>975</v>
      </c>
      <c r="B613" s="10" t="s">
        <v>164</v>
      </c>
      <c r="C613" s="14" t="s">
        <v>165</v>
      </c>
      <c r="D613" s="10"/>
      <c r="E613" s="10" t="s">
        <v>166</v>
      </c>
      <c r="F613" s="116" t="n">
        <v>240</v>
      </c>
      <c r="G613" s="116" t="n">
        <v>0</v>
      </c>
      <c r="H613" s="116">
        <f>F613*AO613</f>
      </c>
      <c r="I613" s="116">
        <f>F613*AP613</f>
      </c>
      <c r="J613" s="116">
        <f>F613*G613</f>
      </c>
      <c r="K613" s="149" t="s">
        <v>159</v>
      </c>
      <c r="Z613" s="116">
        <f>IF(AQ613="5",BJ613,0)</f>
      </c>
      <c r="AB613" s="116">
        <f>IF(AQ613="1",BH613,0)</f>
      </c>
      <c r="AC613" s="116">
        <f>IF(AQ613="1",BI613,0)</f>
      </c>
      <c r="AD613" s="116">
        <f>IF(AQ613="7",BH613,0)</f>
      </c>
      <c r="AE613" s="116">
        <f>IF(AQ613="7",BI613,0)</f>
      </c>
      <c r="AF613" s="116">
        <f>IF(AQ613="2",BH613,0)</f>
      </c>
      <c r="AG613" s="116">
        <f>IF(AQ613="2",BI613,0)</f>
      </c>
      <c r="AH613" s="116">
        <f>IF(AQ613="0",BJ613,0)</f>
      </c>
      <c r="AI613" s="131" t="s">
        <v>117</v>
      </c>
      <c r="AJ613" s="116">
        <f>IF(AN613=0,J613,0)</f>
      </c>
      <c r="AK613" s="116">
        <f>IF(AN613=12,J613,0)</f>
      </c>
      <c r="AL613" s="116">
        <f>IF(AN613=21,J613,0)</f>
      </c>
      <c r="AN613" s="116" t="n">
        <v>21</v>
      </c>
      <c r="AO613" s="116">
        <f>G613*0</f>
      </c>
      <c r="AP613" s="116">
        <f>G613*(1-0)</f>
      </c>
      <c r="AQ613" s="150" t="s">
        <v>88</v>
      </c>
      <c r="AV613" s="116">
        <f>AW613+AX613</f>
      </c>
      <c r="AW613" s="116">
        <f>F613*AO613</f>
      </c>
      <c r="AX613" s="116">
        <f>F613*AP613</f>
      </c>
      <c r="AY613" s="150" t="s">
        <v>160</v>
      </c>
      <c r="AZ613" s="150" t="s">
        <v>976</v>
      </c>
      <c r="BA613" s="131" t="s">
        <v>977</v>
      </c>
      <c r="BC613" s="116">
        <f>AW613+AX613</f>
      </c>
      <c r="BD613" s="116">
        <f>G613/(100-BE613)*100</f>
      </c>
      <c r="BE613" s="116" t="n">
        <v>0</v>
      </c>
      <c r="BF613" s="116">
        <f>613</f>
      </c>
      <c r="BH613" s="116">
        <f>F613*AO613</f>
      </c>
      <c r="BI613" s="116">
        <f>F613*AP613</f>
      </c>
      <c r="BJ613" s="116">
        <f>F613*G613</f>
      </c>
      <c r="BK613" s="116"/>
      <c r="BL613" s="116" t="n">
        <v>11</v>
      </c>
      <c r="BW613" s="116" t="n">
        <v>21</v>
      </c>
      <c r="BX613" s="14" t="s">
        <v>165</v>
      </c>
    </row>
    <row r="614" customHeight="true" ht="13.5">
      <c r="A614" s="151"/>
      <c r="C614" s="155" t="s">
        <v>167</v>
      </c>
      <c r="D614" s="152"/>
      <c r="E614" s="152"/>
      <c r="F614" s="152"/>
      <c r="G614" s="152"/>
      <c r="H614" s="152"/>
      <c r="I614" s="152"/>
      <c r="J614" s="152"/>
      <c r="K614" s="156"/>
    </row>
    <row r="615">
      <c r="A615" s="151"/>
      <c r="C615" s="152" t="s">
        <v>978</v>
      </c>
      <c r="D615" s="152" t="s">
        <v>4</v>
      </c>
      <c r="F615" s="153" t="n">
        <v>240</v>
      </c>
      <c r="K615" s="154"/>
    </row>
    <row r="616">
      <c r="A616" s="9" t="s">
        <v>979</v>
      </c>
      <c r="B616" s="10" t="s">
        <v>980</v>
      </c>
      <c r="C616" s="14" t="s">
        <v>981</v>
      </c>
      <c r="D616" s="10"/>
      <c r="E616" s="10" t="s">
        <v>216</v>
      </c>
      <c r="F616" s="116" t="n">
        <v>4</v>
      </c>
      <c r="G616" s="116" t="n">
        <v>0</v>
      </c>
      <c r="H616" s="116">
        <f>F616*AO616</f>
      </c>
      <c r="I616" s="116">
        <f>F616*AP616</f>
      </c>
      <c r="J616" s="116">
        <f>F616*G616</f>
      </c>
      <c r="K616" s="149" t="s">
        <v>159</v>
      </c>
      <c r="Z616" s="116">
        <f>IF(AQ616="5",BJ616,0)</f>
      </c>
      <c r="AB616" s="116">
        <f>IF(AQ616="1",BH616,0)</f>
      </c>
      <c r="AC616" s="116">
        <f>IF(AQ616="1",BI616,0)</f>
      </c>
      <c r="AD616" s="116">
        <f>IF(AQ616="7",BH616,0)</f>
      </c>
      <c r="AE616" s="116">
        <f>IF(AQ616="7",BI616,0)</f>
      </c>
      <c r="AF616" s="116">
        <f>IF(AQ616="2",BH616,0)</f>
      </c>
      <c r="AG616" s="116">
        <f>IF(AQ616="2",BI616,0)</f>
      </c>
      <c r="AH616" s="116">
        <f>IF(AQ616="0",BJ616,0)</f>
      </c>
      <c r="AI616" s="131" t="s">
        <v>117</v>
      </c>
      <c r="AJ616" s="116">
        <f>IF(AN616=0,J616,0)</f>
      </c>
      <c r="AK616" s="116">
        <f>IF(AN616=12,J616,0)</f>
      </c>
      <c r="AL616" s="116">
        <f>IF(AN616=21,J616,0)</f>
      </c>
      <c r="AN616" s="116" t="n">
        <v>21</v>
      </c>
      <c r="AO616" s="116">
        <f>G616*0.291967213</f>
      </c>
      <c r="AP616" s="116">
        <f>G616*(1-0.291967213)</f>
      </c>
      <c r="AQ616" s="150" t="s">
        <v>88</v>
      </c>
      <c r="AV616" s="116">
        <f>AW616+AX616</f>
      </c>
      <c r="AW616" s="116">
        <f>F616*AO616</f>
      </c>
      <c r="AX616" s="116">
        <f>F616*AP616</f>
      </c>
      <c r="AY616" s="150" t="s">
        <v>160</v>
      </c>
      <c r="AZ616" s="150" t="s">
        <v>976</v>
      </c>
      <c r="BA616" s="131" t="s">
        <v>977</v>
      </c>
      <c r="BC616" s="116">
        <f>AW616+AX616</f>
      </c>
      <c r="BD616" s="116">
        <f>G616/(100-BE616)*100</f>
      </c>
      <c r="BE616" s="116" t="n">
        <v>0</v>
      </c>
      <c r="BF616" s="116">
        <f>616</f>
      </c>
      <c r="BH616" s="116">
        <f>F616*AO616</f>
      </c>
      <c r="BI616" s="116">
        <f>F616*AP616</f>
      </c>
      <c r="BJ616" s="116">
        <f>F616*G616</f>
      </c>
      <c r="BK616" s="116"/>
      <c r="BL616" s="116" t="n">
        <v>11</v>
      </c>
      <c r="BW616" s="116" t="n">
        <v>21</v>
      </c>
      <c r="BX616" s="14" t="s">
        <v>981</v>
      </c>
    </row>
    <row r="617">
      <c r="A617" s="151"/>
      <c r="C617" s="152" t="s">
        <v>106</v>
      </c>
      <c r="D617" s="152" t="s">
        <v>4</v>
      </c>
      <c r="F617" s="153" t="n">
        <v>4</v>
      </c>
      <c r="K617" s="154"/>
    </row>
    <row r="618">
      <c r="A618" s="151"/>
      <c r="B618" s="157" t="s">
        <v>177</v>
      </c>
      <c r="C618" s="155" t="s">
        <v>982</v>
      </c>
      <c r="D618" s="152"/>
      <c r="E618" s="152"/>
      <c r="F618" s="152"/>
      <c r="G618" s="152"/>
      <c r="H618" s="152"/>
      <c r="I618" s="152"/>
      <c r="J618" s="152"/>
      <c r="K618" s="156"/>
      <c r="BX618" s="155" t="s">
        <v>982</v>
      </c>
    </row>
    <row r="619">
      <c r="A619" s="144" t="s">
        <v>4</v>
      </c>
      <c r="B619" s="145" t="s">
        <v>269</v>
      </c>
      <c r="C619" s="146" t="s">
        <v>406</v>
      </c>
      <c r="D619" s="145"/>
      <c r="E619" s="147" t="s">
        <v>79</v>
      </c>
      <c r="F619" s="147" t="s">
        <v>79</v>
      </c>
      <c r="G619" s="147" t="s">
        <v>79</v>
      </c>
      <c r="H619" s="123">
        <f>SUM(H620:H620)</f>
      </c>
      <c r="I619" s="123">
        <f>SUM(I620:I620)</f>
      </c>
      <c r="J619" s="123">
        <f>SUM(J620:J620)</f>
      </c>
      <c r="K619" s="148" t="s">
        <v>4</v>
      </c>
      <c r="AI619" s="131" t="s">
        <v>117</v>
      </c>
      <c r="AS619" s="123">
        <f>SUM(AJ620:AJ620)</f>
      </c>
      <c r="AT619" s="123">
        <f>SUM(AK620:AK620)</f>
      </c>
      <c r="AU619" s="123">
        <f>SUM(AL620:AL620)</f>
      </c>
    </row>
    <row r="620">
      <c r="A620" s="9" t="s">
        <v>983</v>
      </c>
      <c r="B620" s="10" t="s">
        <v>419</v>
      </c>
      <c r="C620" s="14" t="s">
        <v>984</v>
      </c>
      <c r="D620" s="10"/>
      <c r="E620" s="10" t="s">
        <v>172</v>
      </c>
      <c r="F620" s="116" t="n">
        <v>6.25</v>
      </c>
      <c r="G620" s="116" t="n">
        <v>0</v>
      </c>
      <c r="H620" s="116">
        <f>F620*AO620</f>
      </c>
      <c r="I620" s="116">
        <f>F620*AP620</f>
      </c>
      <c r="J620" s="116">
        <f>F620*G620</f>
      </c>
      <c r="K620" s="149" t="s">
        <v>159</v>
      </c>
      <c r="Z620" s="116">
        <f>IF(AQ620="5",BJ620,0)</f>
      </c>
      <c r="AB620" s="116">
        <f>IF(AQ620="1",BH620,0)</f>
      </c>
      <c r="AC620" s="116">
        <f>IF(AQ620="1",BI620,0)</f>
      </c>
      <c r="AD620" s="116">
        <f>IF(AQ620="7",BH620,0)</f>
      </c>
      <c r="AE620" s="116">
        <f>IF(AQ620="7",BI620,0)</f>
      </c>
      <c r="AF620" s="116">
        <f>IF(AQ620="2",BH620,0)</f>
      </c>
      <c r="AG620" s="116">
        <f>IF(AQ620="2",BI620,0)</f>
      </c>
      <c r="AH620" s="116">
        <f>IF(AQ620="0",BJ620,0)</f>
      </c>
      <c r="AI620" s="131" t="s">
        <v>117</v>
      </c>
      <c r="AJ620" s="116">
        <f>IF(AN620=0,J620,0)</f>
      </c>
      <c r="AK620" s="116">
        <f>IF(AN620=12,J620,0)</f>
      </c>
      <c r="AL620" s="116">
        <f>IF(AN620=21,J620,0)</f>
      </c>
      <c r="AN620" s="116" t="n">
        <v>21</v>
      </c>
      <c r="AO620" s="116">
        <f>G620*0.516763038</f>
      </c>
      <c r="AP620" s="116">
        <f>G620*(1-0.516763038)</f>
      </c>
      <c r="AQ620" s="150" t="s">
        <v>88</v>
      </c>
      <c r="AV620" s="116">
        <f>AW620+AX620</f>
      </c>
      <c r="AW620" s="116">
        <f>F620*AO620</f>
      </c>
      <c r="AX620" s="116">
        <f>F620*AP620</f>
      </c>
      <c r="AY620" s="150" t="s">
        <v>410</v>
      </c>
      <c r="AZ620" s="150" t="s">
        <v>976</v>
      </c>
      <c r="BA620" s="131" t="s">
        <v>977</v>
      </c>
      <c r="BC620" s="116">
        <f>AW620+AX620</f>
      </c>
      <c r="BD620" s="116">
        <f>G620/(100-BE620)*100</f>
      </c>
      <c r="BE620" s="116" t="n">
        <v>0</v>
      </c>
      <c r="BF620" s="116">
        <f>620</f>
      </c>
      <c r="BH620" s="116">
        <f>F620*AO620</f>
      </c>
      <c r="BI620" s="116">
        <f>F620*AP620</f>
      </c>
      <c r="BJ620" s="116">
        <f>F620*G620</f>
      </c>
      <c r="BK620" s="116"/>
      <c r="BL620" s="116" t="n">
        <v>17</v>
      </c>
      <c r="BW620" s="116" t="n">
        <v>21</v>
      </c>
      <c r="BX620" s="14" t="s">
        <v>984</v>
      </c>
    </row>
    <row r="621" customHeight="true" ht="13.5">
      <c r="A621" s="151"/>
      <c r="C621" s="155" t="s">
        <v>985</v>
      </c>
      <c r="D621" s="152"/>
      <c r="E621" s="152"/>
      <c r="F621" s="152"/>
      <c r="G621" s="152"/>
      <c r="H621" s="152"/>
      <c r="I621" s="152"/>
      <c r="J621" s="152"/>
      <c r="K621" s="156"/>
    </row>
    <row r="622">
      <c r="A622" s="151"/>
      <c r="C622" s="152" t="s">
        <v>986</v>
      </c>
      <c r="D622" s="152" t="s">
        <v>4</v>
      </c>
      <c r="F622" s="153" t="n">
        <v>6.25</v>
      </c>
      <c r="K622" s="154"/>
    </row>
    <row r="623">
      <c r="A623" s="144" t="s">
        <v>4</v>
      </c>
      <c r="B623" s="145" t="s">
        <v>281</v>
      </c>
      <c r="C623" s="146" t="s">
        <v>441</v>
      </c>
      <c r="D623" s="145"/>
      <c r="E623" s="147" t="s">
        <v>79</v>
      </c>
      <c r="F623" s="147" t="s">
        <v>79</v>
      </c>
      <c r="G623" s="147" t="s">
        <v>79</v>
      </c>
      <c r="H623" s="123">
        <f>SUM(H624:H624)</f>
      </c>
      <c r="I623" s="123">
        <f>SUM(I624:I624)</f>
      </c>
      <c r="J623" s="123">
        <f>SUM(J624:J624)</f>
      </c>
      <c r="K623" s="148" t="s">
        <v>4</v>
      </c>
      <c r="AI623" s="131" t="s">
        <v>117</v>
      </c>
      <c r="AS623" s="123">
        <f>SUM(AJ624:AJ624)</f>
      </c>
      <c r="AT623" s="123">
        <f>SUM(AK624:AK624)</f>
      </c>
      <c r="AU623" s="123">
        <f>SUM(AL624:AL624)</f>
      </c>
    </row>
    <row r="624">
      <c r="A624" s="9" t="s">
        <v>987</v>
      </c>
      <c r="B624" s="10" t="s">
        <v>988</v>
      </c>
      <c r="C624" s="14" t="s">
        <v>989</v>
      </c>
      <c r="D624" s="10"/>
      <c r="E624" s="10" t="s">
        <v>259</v>
      </c>
      <c r="F624" s="116" t="n">
        <v>11.25</v>
      </c>
      <c r="G624" s="116" t="n">
        <v>0</v>
      </c>
      <c r="H624" s="116">
        <f>F624*AO624</f>
      </c>
      <c r="I624" s="116">
        <f>F624*AP624</f>
      </c>
      <c r="J624" s="116">
        <f>F624*G624</f>
      </c>
      <c r="K624" s="149" t="s">
        <v>159</v>
      </c>
      <c r="Z624" s="116">
        <f>IF(AQ624="5",BJ624,0)</f>
      </c>
      <c r="AB624" s="116">
        <f>IF(AQ624="1",BH624,0)</f>
      </c>
      <c r="AC624" s="116">
        <f>IF(AQ624="1",BI624,0)</f>
      </c>
      <c r="AD624" s="116">
        <f>IF(AQ624="7",BH624,0)</f>
      </c>
      <c r="AE624" s="116">
        <f>IF(AQ624="7",BI624,0)</f>
      </c>
      <c r="AF624" s="116">
        <f>IF(AQ624="2",BH624,0)</f>
      </c>
      <c r="AG624" s="116">
        <f>IF(AQ624="2",BI624,0)</f>
      </c>
      <c r="AH624" s="116">
        <f>IF(AQ624="0",BJ624,0)</f>
      </c>
      <c r="AI624" s="131" t="s">
        <v>117</v>
      </c>
      <c r="AJ624" s="116">
        <f>IF(AN624=0,J624,0)</f>
      </c>
      <c r="AK624" s="116">
        <f>IF(AN624=12,J624,0)</f>
      </c>
      <c r="AL624" s="116">
        <f>IF(AN624=21,J624,0)</f>
      </c>
      <c r="AN624" s="116" t="n">
        <v>21</v>
      </c>
      <c r="AO624" s="116">
        <f>G624*0</f>
      </c>
      <c r="AP624" s="116">
        <f>G624*(1-0)</f>
      </c>
      <c r="AQ624" s="150" t="s">
        <v>88</v>
      </c>
      <c r="AV624" s="116">
        <f>AW624+AX624</f>
      </c>
      <c r="AW624" s="116">
        <f>F624*AO624</f>
      </c>
      <c r="AX624" s="116">
        <f>F624*AP624</f>
      </c>
      <c r="AY624" s="150" t="s">
        <v>445</v>
      </c>
      <c r="AZ624" s="150" t="s">
        <v>976</v>
      </c>
      <c r="BA624" s="131" t="s">
        <v>977</v>
      </c>
      <c r="BC624" s="116">
        <f>AW624+AX624</f>
      </c>
      <c r="BD624" s="116">
        <f>G624/(100-BE624)*100</f>
      </c>
      <c r="BE624" s="116" t="n">
        <v>0</v>
      </c>
      <c r="BF624" s="116">
        <f>624</f>
      </c>
      <c r="BH624" s="116">
        <f>F624*AO624</f>
      </c>
      <c r="BI624" s="116">
        <f>F624*AP624</f>
      </c>
      <c r="BJ624" s="116">
        <f>F624*G624</f>
      </c>
      <c r="BK624" s="116"/>
      <c r="BL624" s="116" t="n">
        <v>19</v>
      </c>
      <c r="BW624" s="116" t="n">
        <v>21</v>
      </c>
      <c r="BX624" s="14" t="s">
        <v>989</v>
      </c>
    </row>
    <row r="625">
      <c r="A625" s="151"/>
      <c r="C625" s="152" t="s">
        <v>990</v>
      </c>
      <c r="D625" s="152" t="s">
        <v>4</v>
      </c>
      <c r="F625" s="153" t="n">
        <v>11.25</v>
      </c>
      <c r="K625" s="154"/>
    </row>
    <row r="626">
      <c r="A626" s="144" t="s">
        <v>4</v>
      </c>
      <c r="B626" s="145" t="s">
        <v>991</v>
      </c>
      <c r="C626" s="146" t="s">
        <v>992</v>
      </c>
      <c r="D626" s="145"/>
      <c r="E626" s="147" t="s">
        <v>79</v>
      </c>
      <c r="F626" s="147" t="s">
        <v>79</v>
      </c>
      <c r="G626" s="147" t="s">
        <v>79</v>
      </c>
      <c r="H626" s="123">
        <f>SUM(H627:H627)</f>
      </c>
      <c r="I626" s="123">
        <f>SUM(I627:I627)</f>
      </c>
      <c r="J626" s="123">
        <f>SUM(J627:J627)</f>
      </c>
      <c r="K626" s="148" t="s">
        <v>4</v>
      </c>
      <c r="AI626" s="131" t="s">
        <v>117</v>
      </c>
      <c r="AS626" s="123">
        <f>SUM(AJ627:AJ627)</f>
      </c>
      <c r="AT626" s="123">
        <f>SUM(AK627:AK627)</f>
      </c>
      <c r="AU626" s="123">
        <f>SUM(AL627:AL627)</f>
      </c>
    </row>
    <row r="627">
      <c r="A627" s="9" t="s">
        <v>993</v>
      </c>
      <c r="B627" s="10" t="s">
        <v>994</v>
      </c>
      <c r="C627" s="14" t="s">
        <v>995</v>
      </c>
      <c r="D627" s="10"/>
      <c r="E627" s="10" t="s">
        <v>463</v>
      </c>
      <c r="F627" s="116" t="n">
        <v>2</v>
      </c>
      <c r="G627" s="116" t="n">
        <v>0</v>
      </c>
      <c r="H627" s="116">
        <f>F627*AO627</f>
      </c>
      <c r="I627" s="116">
        <f>F627*AP627</f>
      </c>
      <c r="J627" s="116">
        <f>F627*G627</f>
      </c>
      <c r="K627" s="149" t="s">
        <v>202</v>
      </c>
      <c r="Z627" s="116">
        <f>IF(AQ627="5",BJ627,0)</f>
      </c>
      <c r="AB627" s="116">
        <f>IF(AQ627="1",BH627,0)</f>
      </c>
      <c r="AC627" s="116">
        <f>IF(AQ627="1",BI627,0)</f>
      </c>
      <c r="AD627" s="116">
        <f>IF(AQ627="7",BH627,0)</f>
      </c>
      <c r="AE627" s="116">
        <f>IF(AQ627="7",BI627,0)</f>
      </c>
      <c r="AF627" s="116">
        <f>IF(AQ627="2",BH627,0)</f>
      </c>
      <c r="AG627" s="116">
        <f>IF(AQ627="2",BI627,0)</f>
      </c>
      <c r="AH627" s="116">
        <f>IF(AQ627="0",BJ627,0)</f>
      </c>
      <c r="AI627" s="131" t="s">
        <v>117</v>
      </c>
      <c r="AJ627" s="116">
        <f>IF(AN627=0,J627,0)</f>
      </c>
      <c r="AK627" s="116">
        <f>IF(AN627=12,J627,0)</f>
      </c>
      <c r="AL627" s="116">
        <f>IF(AN627=21,J627,0)</f>
      </c>
      <c r="AN627" s="116" t="n">
        <v>21</v>
      </c>
      <c r="AO627" s="116">
        <f>G627*0.061187215</f>
      </c>
      <c r="AP627" s="116">
        <f>G627*(1-0.061187215)</f>
      </c>
      <c r="AQ627" s="150" t="s">
        <v>104</v>
      </c>
      <c r="AV627" s="116">
        <f>AW627+AX627</f>
      </c>
      <c r="AW627" s="116">
        <f>F627*AO627</f>
      </c>
      <c r="AX627" s="116">
        <f>F627*AP627</f>
      </c>
      <c r="AY627" s="150" t="s">
        <v>996</v>
      </c>
      <c r="AZ627" s="150" t="s">
        <v>997</v>
      </c>
      <c r="BA627" s="131" t="s">
        <v>977</v>
      </c>
      <c r="BC627" s="116">
        <f>AW627+AX627</f>
      </c>
      <c r="BD627" s="116">
        <f>G627/(100-BE627)*100</f>
      </c>
      <c r="BE627" s="116" t="n">
        <v>0</v>
      </c>
      <c r="BF627" s="116">
        <f>627</f>
      </c>
      <c r="BH627" s="116">
        <f>F627*AO627</f>
      </c>
      <c r="BI627" s="116">
        <f>F627*AP627</f>
      </c>
      <c r="BJ627" s="116">
        <f>F627*G627</f>
      </c>
      <c r="BK627" s="116"/>
      <c r="BL627" s="116"/>
      <c r="BW627" s="116" t="n">
        <v>21</v>
      </c>
      <c r="BX627" s="14" t="s">
        <v>995</v>
      </c>
    </row>
    <row r="628" customHeight="true" ht="13.5">
      <c r="A628" s="151"/>
      <c r="C628" s="155" t="s">
        <v>998</v>
      </c>
      <c r="D628" s="152"/>
      <c r="E628" s="152"/>
      <c r="F628" s="152"/>
      <c r="G628" s="152"/>
      <c r="H628" s="152"/>
      <c r="I628" s="152"/>
      <c r="J628" s="152"/>
      <c r="K628" s="156"/>
    </row>
    <row r="629">
      <c r="A629" s="151"/>
      <c r="C629" s="152" t="s">
        <v>104</v>
      </c>
      <c r="D629" s="152" t="s">
        <v>4</v>
      </c>
      <c r="F629" s="153" t="n">
        <v>2</v>
      </c>
      <c r="K629" s="154"/>
    </row>
    <row r="630">
      <c r="A630" s="144" t="s">
        <v>4</v>
      </c>
      <c r="B630" s="145" t="s">
        <v>999</v>
      </c>
      <c r="C630" s="146" t="s">
        <v>1000</v>
      </c>
      <c r="D630" s="145"/>
      <c r="E630" s="147" t="s">
        <v>79</v>
      </c>
      <c r="F630" s="147" t="s">
        <v>79</v>
      </c>
      <c r="G630" s="147" t="s">
        <v>79</v>
      </c>
      <c r="H630" s="123">
        <f>SUM(H631:H635)</f>
      </c>
      <c r="I630" s="123">
        <f>SUM(I631:I635)</f>
      </c>
      <c r="J630" s="123">
        <f>SUM(J631:J635)</f>
      </c>
      <c r="K630" s="148" t="s">
        <v>4</v>
      </c>
      <c r="AI630" s="131" t="s">
        <v>117</v>
      </c>
      <c r="AS630" s="123">
        <f>SUM(AJ631:AJ635)</f>
      </c>
      <c r="AT630" s="123">
        <f>SUM(AK631:AK635)</f>
      </c>
      <c r="AU630" s="123">
        <f>SUM(AL631:AL635)</f>
      </c>
    </row>
    <row r="631">
      <c r="A631" s="9" t="s">
        <v>1001</v>
      </c>
      <c r="B631" s="10" t="s">
        <v>1002</v>
      </c>
      <c r="C631" s="14" t="s">
        <v>1003</v>
      </c>
      <c r="D631" s="10"/>
      <c r="E631" s="10" t="s">
        <v>463</v>
      </c>
      <c r="F631" s="116" t="n">
        <v>19</v>
      </c>
      <c r="G631" s="116" t="n">
        <v>0</v>
      </c>
      <c r="H631" s="116">
        <f>F631*AO631</f>
      </c>
      <c r="I631" s="116">
        <f>F631*AP631</f>
      </c>
      <c r="J631" s="116">
        <f>F631*G631</f>
      </c>
      <c r="K631" s="149" t="s">
        <v>202</v>
      </c>
      <c r="Z631" s="116">
        <f>IF(AQ631="5",BJ631,0)</f>
      </c>
      <c r="AB631" s="116">
        <f>IF(AQ631="1",BH631,0)</f>
      </c>
      <c r="AC631" s="116">
        <f>IF(AQ631="1",BI631,0)</f>
      </c>
      <c r="AD631" s="116">
        <f>IF(AQ631="7",BH631,0)</f>
      </c>
      <c r="AE631" s="116">
        <f>IF(AQ631="7",BI631,0)</f>
      </c>
      <c r="AF631" s="116">
        <f>IF(AQ631="2",BH631,0)</f>
      </c>
      <c r="AG631" s="116">
        <f>IF(AQ631="2",BI631,0)</f>
      </c>
      <c r="AH631" s="116">
        <f>IF(AQ631="0",BJ631,0)</f>
      </c>
      <c r="AI631" s="131" t="s">
        <v>117</v>
      </c>
      <c r="AJ631" s="116">
        <f>IF(AN631=0,J631,0)</f>
      </c>
      <c r="AK631" s="116">
        <f>IF(AN631=12,J631,0)</f>
      </c>
      <c r="AL631" s="116">
        <f>IF(AN631=21,J631,0)</f>
      </c>
      <c r="AN631" s="116" t="n">
        <v>21</v>
      </c>
      <c r="AO631" s="116">
        <f>G631*0</f>
      </c>
      <c r="AP631" s="116">
        <f>G631*(1-0)</f>
      </c>
      <c r="AQ631" s="150" t="s">
        <v>104</v>
      </c>
      <c r="AV631" s="116">
        <f>AW631+AX631</f>
      </c>
      <c r="AW631" s="116">
        <f>F631*AO631</f>
      </c>
      <c r="AX631" s="116">
        <f>F631*AP631</f>
      </c>
      <c r="AY631" s="150" t="s">
        <v>1004</v>
      </c>
      <c r="AZ631" s="150" t="s">
        <v>997</v>
      </c>
      <c r="BA631" s="131" t="s">
        <v>977</v>
      </c>
      <c r="BC631" s="116">
        <f>AW631+AX631</f>
      </c>
      <c r="BD631" s="116">
        <f>G631/(100-BE631)*100</f>
      </c>
      <c r="BE631" s="116" t="n">
        <v>0</v>
      </c>
      <c r="BF631" s="116">
        <f>631</f>
      </c>
      <c r="BH631" s="116">
        <f>F631*AO631</f>
      </c>
      <c r="BI631" s="116">
        <f>F631*AP631</f>
      </c>
      <c r="BJ631" s="116">
        <f>F631*G631</f>
      </c>
      <c r="BK631" s="116"/>
      <c r="BL631" s="116"/>
      <c r="BW631" s="116" t="n">
        <v>21</v>
      </c>
      <c r="BX631" s="14" t="s">
        <v>1003</v>
      </c>
    </row>
    <row r="632">
      <c r="A632" s="151"/>
      <c r="C632" s="152" t="s">
        <v>281</v>
      </c>
      <c r="D632" s="152" t="s">
        <v>4</v>
      </c>
      <c r="F632" s="153" t="n">
        <v>19</v>
      </c>
      <c r="K632" s="154"/>
    </row>
    <row r="633">
      <c r="A633" s="9" t="s">
        <v>1005</v>
      </c>
      <c r="B633" s="10" t="s">
        <v>1006</v>
      </c>
      <c r="C633" s="14" t="s">
        <v>1007</v>
      </c>
      <c r="D633" s="10"/>
      <c r="E633" s="10" t="s">
        <v>463</v>
      </c>
      <c r="F633" s="116" t="n">
        <v>1</v>
      </c>
      <c r="G633" s="116" t="n">
        <v>0</v>
      </c>
      <c r="H633" s="116">
        <f>F633*AO633</f>
      </c>
      <c r="I633" s="116">
        <f>F633*AP633</f>
      </c>
      <c r="J633" s="116">
        <f>F633*G633</f>
      </c>
      <c r="K633" s="149" t="s">
        <v>202</v>
      </c>
      <c r="Z633" s="116">
        <f>IF(AQ633="5",BJ633,0)</f>
      </c>
      <c r="AB633" s="116">
        <f>IF(AQ633="1",BH633,0)</f>
      </c>
      <c r="AC633" s="116">
        <f>IF(AQ633="1",BI633,0)</f>
      </c>
      <c r="AD633" s="116">
        <f>IF(AQ633="7",BH633,0)</f>
      </c>
      <c r="AE633" s="116">
        <f>IF(AQ633="7",BI633,0)</f>
      </c>
      <c r="AF633" s="116">
        <f>IF(AQ633="2",BH633,0)</f>
      </c>
      <c r="AG633" s="116">
        <f>IF(AQ633="2",BI633,0)</f>
      </c>
      <c r="AH633" s="116">
        <f>IF(AQ633="0",BJ633,0)</f>
      </c>
      <c r="AI633" s="131" t="s">
        <v>117</v>
      </c>
      <c r="AJ633" s="116">
        <f>IF(AN633=0,J633,0)</f>
      </c>
      <c r="AK633" s="116">
        <f>IF(AN633=12,J633,0)</f>
      </c>
      <c r="AL633" s="116">
        <f>IF(AN633=21,J633,0)</f>
      </c>
      <c r="AN633" s="116" t="n">
        <v>21</v>
      </c>
      <c r="AO633" s="116">
        <f>G633*0</f>
      </c>
      <c r="AP633" s="116">
        <f>G633*(1-0)</f>
      </c>
      <c r="AQ633" s="150" t="s">
        <v>104</v>
      </c>
      <c r="AV633" s="116">
        <f>AW633+AX633</f>
      </c>
      <c r="AW633" s="116">
        <f>F633*AO633</f>
      </c>
      <c r="AX633" s="116">
        <f>F633*AP633</f>
      </c>
      <c r="AY633" s="150" t="s">
        <v>1004</v>
      </c>
      <c r="AZ633" s="150" t="s">
        <v>997</v>
      </c>
      <c r="BA633" s="131" t="s">
        <v>977</v>
      </c>
      <c r="BC633" s="116">
        <f>AW633+AX633</f>
      </c>
      <c r="BD633" s="116">
        <f>G633/(100-BE633)*100</f>
      </c>
      <c r="BE633" s="116" t="n">
        <v>0</v>
      </c>
      <c r="BF633" s="116">
        <f>633</f>
      </c>
      <c r="BH633" s="116">
        <f>F633*AO633</f>
      </c>
      <c r="BI633" s="116">
        <f>F633*AP633</f>
      </c>
      <c r="BJ633" s="116">
        <f>F633*G633</f>
      </c>
      <c r="BK633" s="116"/>
      <c r="BL633" s="116"/>
      <c r="BW633" s="116" t="n">
        <v>21</v>
      </c>
      <c r="BX633" s="14" t="s">
        <v>1007</v>
      </c>
    </row>
    <row r="634">
      <c r="A634" s="151"/>
      <c r="C634" s="152" t="s">
        <v>88</v>
      </c>
      <c r="D634" s="152" t="s">
        <v>4</v>
      </c>
      <c r="F634" s="153" t="n">
        <v>1</v>
      </c>
      <c r="K634" s="154"/>
    </row>
    <row r="635">
      <c r="A635" s="9" t="s">
        <v>1008</v>
      </c>
      <c r="B635" s="10" t="s">
        <v>1009</v>
      </c>
      <c r="C635" s="14" t="s">
        <v>1010</v>
      </c>
      <c r="D635" s="10"/>
      <c r="E635" s="10" t="s">
        <v>463</v>
      </c>
      <c r="F635" s="116" t="n">
        <v>1</v>
      </c>
      <c r="G635" s="116" t="n">
        <v>0</v>
      </c>
      <c r="H635" s="116">
        <f>F635*AO635</f>
      </c>
      <c r="I635" s="116">
        <f>F635*AP635</f>
      </c>
      <c r="J635" s="116">
        <f>F635*G635</f>
      </c>
      <c r="K635" s="149" t="s">
        <v>202</v>
      </c>
      <c r="Z635" s="116">
        <f>IF(AQ635="5",BJ635,0)</f>
      </c>
      <c r="AB635" s="116">
        <f>IF(AQ635="1",BH635,0)</f>
      </c>
      <c r="AC635" s="116">
        <f>IF(AQ635="1",BI635,0)</f>
      </c>
      <c r="AD635" s="116">
        <f>IF(AQ635="7",BH635,0)</f>
      </c>
      <c r="AE635" s="116">
        <f>IF(AQ635="7",BI635,0)</f>
      </c>
      <c r="AF635" s="116">
        <f>IF(AQ635="2",BH635,0)</f>
      </c>
      <c r="AG635" s="116">
        <f>IF(AQ635="2",BI635,0)</f>
      </c>
      <c r="AH635" s="116">
        <f>IF(AQ635="0",BJ635,0)</f>
      </c>
      <c r="AI635" s="131" t="s">
        <v>117</v>
      </c>
      <c r="AJ635" s="116">
        <f>IF(AN635=0,J635,0)</f>
      </c>
      <c r="AK635" s="116">
        <f>IF(AN635=12,J635,0)</f>
      </c>
      <c r="AL635" s="116">
        <f>IF(AN635=21,J635,0)</f>
      </c>
      <c r="AN635" s="116" t="n">
        <v>21</v>
      </c>
      <c r="AO635" s="116">
        <f>G635*0</f>
      </c>
      <c r="AP635" s="116">
        <f>G635*(1-0)</f>
      </c>
      <c r="AQ635" s="150" t="s">
        <v>104</v>
      </c>
      <c r="AV635" s="116">
        <f>AW635+AX635</f>
      </c>
      <c r="AW635" s="116">
        <f>F635*AO635</f>
      </c>
      <c r="AX635" s="116">
        <f>F635*AP635</f>
      </c>
      <c r="AY635" s="150" t="s">
        <v>1004</v>
      </c>
      <c r="AZ635" s="150" t="s">
        <v>997</v>
      </c>
      <c r="BA635" s="131" t="s">
        <v>977</v>
      </c>
      <c r="BC635" s="116">
        <f>AW635+AX635</f>
      </c>
      <c r="BD635" s="116">
        <f>G635/(100-BE635)*100</f>
      </c>
      <c r="BE635" s="116" t="n">
        <v>0</v>
      </c>
      <c r="BF635" s="116">
        <f>635</f>
      </c>
      <c r="BH635" s="116">
        <f>F635*AO635</f>
      </c>
      <c r="BI635" s="116">
        <f>F635*AP635</f>
      </c>
      <c r="BJ635" s="116">
        <f>F635*G635</f>
      </c>
      <c r="BK635" s="116"/>
      <c r="BL635" s="116"/>
      <c r="BW635" s="116" t="n">
        <v>21</v>
      </c>
      <c r="BX635" s="14" t="s">
        <v>1010</v>
      </c>
    </row>
    <row r="636">
      <c r="A636" s="151"/>
      <c r="C636" s="152" t="s">
        <v>88</v>
      </c>
      <c r="D636" s="152" t="s">
        <v>4</v>
      </c>
      <c r="F636" s="153" t="n">
        <v>1</v>
      </c>
      <c r="K636" s="154"/>
    </row>
    <row r="637">
      <c r="A637" s="144" t="s">
        <v>4</v>
      </c>
      <c r="B637" s="145" t="s">
        <v>1011</v>
      </c>
      <c r="C637" s="146" t="s">
        <v>1012</v>
      </c>
      <c r="D637" s="145"/>
      <c r="E637" s="147" t="s">
        <v>79</v>
      </c>
      <c r="F637" s="147" t="s">
        <v>79</v>
      </c>
      <c r="G637" s="147" t="s">
        <v>79</v>
      </c>
      <c r="H637" s="123">
        <f>SUM(H638:H657)</f>
      </c>
      <c r="I637" s="123">
        <f>SUM(I638:I657)</f>
      </c>
      <c r="J637" s="123">
        <f>SUM(J638:J657)</f>
      </c>
      <c r="K637" s="148" t="s">
        <v>4</v>
      </c>
      <c r="AI637" s="131" t="s">
        <v>117</v>
      </c>
      <c r="AS637" s="123">
        <f>SUM(AJ638:AJ657)</f>
      </c>
      <c r="AT637" s="123">
        <f>SUM(AK638:AK657)</f>
      </c>
      <c r="AU637" s="123">
        <f>SUM(AL638:AL657)</f>
      </c>
    </row>
    <row r="638">
      <c r="A638" s="9" t="s">
        <v>1013</v>
      </c>
      <c r="B638" s="10" t="s">
        <v>1014</v>
      </c>
      <c r="C638" s="14" t="s">
        <v>1015</v>
      </c>
      <c r="D638" s="10"/>
      <c r="E638" s="10" t="s">
        <v>1016</v>
      </c>
      <c r="F638" s="116" t="n">
        <v>0.085</v>
      </c>
      <c r="G638" s="116" t="n">
        <v>0</v>
      </c>
      <c r="H638" s="116">
        <f>F638*AO638</f>
      </c>
      <c r="I638" s="116">
        <f>F638*AP638</f>
      </c>
      <c r="J638" s="116">
        <f>F638*G638</f>
      </c>
      <c r="K638" s="149" t="s">
        <v>159</v>
      </c>
      <c r="Z638" s="116">
        <f>IF(AQ638="5",BJ638,0)</f>
      </c>
      <c r="AB638" s="116">
        <f>IF(AQ638="1",BH638,0)</f>
      </c>
      <c r="AC638" s="116">
        <f>IF(AQ638="1",BI638,0)</f>
      </c>
      <c r="AD638" s="116">
        <f>IF(AQ638="7",BH638,0)</f>
      </c>
      <c r="AE638" s="116">
        <f>IF(AQ638="7",BI638,0)</f>
      </c>
      <c r="AF638" s="116">
        <f>IF(AQ638="2",BH638,0)</f>
      </c>
      <c r="AG638" s="116">
        <f>IF(AQ638="2",BI638,0)</f>
      </c>
      <c r="AH638" s="116">
        <f>IF(AQ638="0",BJ638,0)</f>
      </c>
      <c r="AI638" s="131" t="s">
        <v>117</v>
      </c>
      <c r="AJ638" s="116">
        <f>IF(AN638=0,J638,0)</f>
      </c>
      <c r="AK638" s="116">
        <f>IF(AN638=12,J638,0)</f>
      </c>
      <c r="AL638" s="116">
        <f>IF(AN638=21,J638,0)</f>
      </c>
      <c r="AN638" s="116" t="n">
        <v>21</v>
      </c>
      <c r="AO638" s="116">
        <f>G638*0.225535897</f>
      </c>
      <c r="AP638" s="116">
        <f>G638*(1-0.225535897)</f>
      </c>
      <c r="AQ638" s="150" t="s">
        <v>104</v>
      </c>
      <c r="AV638" s="116">
        <f>AW638+AX638</f>
      </c>
      <c r="AW638" s="116">
        <f>F638*AO638</f>
      </c>
      <c r="AX638" s="116">
        <f>F638*AP638</f>
      </c>
      <c r="AY638" s="150" t="s">
        <v>1017</v>
      </c>
      <c r="AZ638" s="150" t="s">
        <v>997</v>
      </c>
      <c r="BA638" s="131" t="s">
        <v>977</v>
      </c>
      <c r="BC638" s="116">
        <f>AW638+AX638</f>
      </c>
      <c r="BD638" s="116">
        <f>G638/(100-BE638)*100</f>
      </c>
      <c r="BE638" s="116" t="n">
        <v>0</v>
      </c>
      <c r="BF638" s="116">
        <f>638</f>
      </c>
      <c r="BH638" s="116">
        <f>F638*AO638</f>
      </c>
      <c r="BI638" s="116">
        <f>F638*AP638</f>
      </c>
      <c r="BJ638" s="116">
        <f>F638*G638</f>
      </c>
      <c r="BK638" s="116"/>
      <c r="BL638" s="116"/>
      <c r="BW638" s="116" t="n">
        <v>21</v>
      </c>
      <c r="BX638" s="14" t="s">
        <v>1015</v>
      </c>
    </row>
    <row r="639" customHeight="true" ht="13.5">
      <c r="A639" s="151"/>
      <c r="C639" s="155" t="s">
        <v>1018</v>
      </c>
      <c r="D639" s="152"/>
      <c r="E639" s="152"/>
      <c r="F639" s="152"/>
      <c r="G639" s="152"/>
      <c r="H639" s="152"/>
      <c r="I639" s="152"/>
      <c r="J639" s="152"/>
      <c r="K639" s="156"/>
    </row>
    <row r="640">
      <c r="A640" s="151"/>
      <c r="C640" s="152" t="s">
        <v>1019</v>
      </c>
      <c r="D640" s="152" t="s">
        <v>4</v>
      </c>
      <c r="F640" s="153" t="n">
        <v>0.085</v>
      </c>
      <c r="K640" s="154"/>
    </row>
    <row r="641">
      <c r="A641" s="9" t="s">
        <v>1020</v>
      </c>
      <c r="B641" s="10" t="s">
        <v>1021</v>
      </c>
      <c r="C641" s="14" t="s">
        <v>1022</v>
      </c>
      <c r="D641" s="10"/>
      <c r="E641" s="10" t="s">
        <v>216</v>
      </c>
      <c r="F641" s="116" t="n">
        <v>75</v>
      </c>
      <c r="G641" s="116" t="n">
        <v>0</v>
      </c>
      <c r="H641" s="116">
        <f>F641*AO641</f>
      </c>
      <c r="I641" s="116">
        <f>F641*AP641</f>
      </c>
      <c r="J641" s="116">
        <f>F641*G641</f>
      </c>
      <c r="K641" s="149" t="s">
        <v>159</v>
      </c>
      <c r="Z641" s="116">
        <f>IF(AQ641="5",BJ641,0)</f>
      </c>
      <c r="AB641" s="116">
        <f>IF(AQ641="1",BH641,0)</f>
      </c>
      <c r="AC641" s="116">
        <f>IF(AQ641="1",BI641,0)</f>
      </c>
      <c r="AD641" s="116">
        <f>IF(AQ641="7",BH641,0)</f>
      </c>
      <c r="AE641" s="116">
        <f>IF(AQ641="7",BI641,0)</f>
      </c>
      <c r="AF641" s="116">
        <f>IF(AQ641="2",BH641,0)</f>
      </c>
      <c r="AG641" s="116">
        <f>IF(AQ641="2",BI641,0)</f>
      </c>
      <c r="AH641" s="116">
        <f>IF(AQ641="0",BJ641,0)</f>
      </c>
      <c r="AI641" s="131" t="s">
        <v>117</v>
      </c>
      <c r="AJ641" s="116">
        <f>IF(AN641=0,J641,0)</f>
      </c>
      <c r="AK641" s="116">
        <f>IF(AN641=12,J641,0)</f>
      </c>
      <c r="AL641" s="116">
        <f>IF(AN641=21,J641,0)</f>
      </c>
      <c r="AN641" s="116" t="n">
        <v>21</v>
      </c>
      <c r="AO641" s="116">
        <f>G641*0</f>
      </c>
      <c r="AP641" s="116">
        <f>G641*(1-0)</f>
      </c>
      <c r="AQ641" s="150" t="s">
        <v>104</v>
      </c>
      <c r="AV641" s="116">
        <f>AW641+AX641</f>
      </c>
      <c r="AW641" s="116">
        <f>F641*AO641</f>
      </c>
      <c r="AX641" s="116">
        <f>F641*AP641</f>
      </c>
      <c r="AY641" s="150" t="s">
        <v>1017</v>
      </c>
      <c r="AZ641" s="150" t="s">
        <v>997</v>
      </c>
      <c r="BA641" s="131" t="s">
        <v>977</v>
      </c>
      <c r="BC641" s="116">
        <f>AW641+AX641</f>
      </c>
      <c r="BD641" s="116">
        <f>G641/(100-BE641)*100</f>
      </c>
      <c r="BE641" s="116" t="n">
        <v>0</v>
      </c>
      <c r="BF641" s="116">
        <f>641</f>
      </c>
      <c r="BH641" s="116">
        <f>F641*AO641</f>
      </c>
      <c r="BI641" s="116">
        <f>F641*AP641</f>
      </c>
      <c r="BJ641" s="116">
        <f>F641*G641</f>
      </c>
      <c r="BK641" s="116"/>
      <c r="BL641" s="116"/>
      <c r="BW641" s="116" t="n">
        <v>21</v>
      </c>
      <c r="BX641" s="14" t="s">
        <v>1022</v>
      </c>
    </row>
    <row r="642" customHeight="true" ht="13.5">
      <c r="A642" s="151"/>
      <c r="C642" s="155" t="s">
        <v>1023</v>
      </c>
      <c r="D642" s="152"/>
      <c r="E642" s="152"/>
      <c r="F642" s="152"/>
      <c r="G642" s="152"/>
      <c r="H642" s="152"/>
      <c r="I642" s="152"/>
      <c r="J642" s="152"/>
      <c r="K642" s="156"/>
    </row>
    <row r="643">
      <c r="A643" s="151"/>
      <c r="C643" s="152" t="s">
        <v>591</v>
      </c>
      <c r="D643" s="152" t="s">
        <v>4</v>
      </c>
      <c r="F643" s="153" t="n">
        <v>75</v>
      </c>
      <c r="K643" s="154"/>
    </row>
    <row r="644">
      <c r="A644" s="9" t="s">
        <v>1024</v>
      </c>
      <c r="B644" s="10" t="s">
        <v>1025</v>
      </c>
      <c r="C644" s="14" t="s">
        <v>1026</v>
      </c>
      <c r="D644" s="10"/>
      <c r="E644" s="10" t="s">
        <v>216</v>
      </c>
      <c r="F644" s="116" t="n">
        <v>10</v>
      </c>
      <c r="G644" s="116" t="n">
        <v>0</v>
      </c>
      <c r="H644" s="116">
        <f>F644*AO644</f>
      </c>
      <c r="I644" s="116">
        <f>F644*AP644</f>
      </c>
      <c r="J644" s="116">
        <f>F644*G644</f>
      </c>
      <c r="K644" s="149" t="s">
        <v>159</v>
      </c>
      <c r="Z644" s="116">
        <f>IF(AQ644="5",BJ644,0)</f>
      </c>
      <c r="AB644" s="116">
        <f>IF(AQ644="1",BH644,0)</f>
      </c>
      <c r="AC644" s="116">
        <f>IF(AQ644="1",BI644,0)</f>
      </c>
      <c r="AD644" s="116">
        <f>IF(AQ644="7",BH644,0)</f>
      </c>
      <c r="AE644" s="116">
        <f>IF(AQ644="7",BI644,0)</f>
      </c>
      <c r="AF644" s="116">
        <f>IF(AQ644="2",BH644,0)</f>
      </c>
      <c r="AG644" s="116">
        <f>IF(AQ644="2",BI644,0)</f>
      </c>
      <c r="AH644" s="116">
        <f>IF(AQ644="0",BJ644,0)</f>
      </c>
      <c r="AI644" s="131" t="s">
        <v>117</v>
      </c>
      <c r="AJ644" s="116">
        <f>IF(AN644=0,J644,0)</f>
      </c>
      <c r="AK644" s="116">
        <f>IF(AN644=12,J644,0)</f>
      </c>
      <c r="AL644" s="116">
        <f>IF(AN644=21,J644,0)</f>
      </c>
      <c r="AN644" s="116" t="n">
        <v>21</v>
      </c>
      <c r="AO644" s="116">
        <f>G644*0</f>
      </c>
      <c r="AP644" s="116">
        <f>G644*(1-0)</f>
      </c>
      <c r="AQ644" s="150" t="s">
        <v>104</v>
      </c>
      <c r="AV644" s="116">
        <f>AW644+AX644</f>
      </c>
      <c r="AW644" s="116">
        <f>F644*AO644</f>
      </c>
      <c r="AX644" s="116">
        <f>F644*AP644</f>
      </c>
      <c r="AY644" s="150" t="s">
        <v>1017</v>
      </c>
      <c r="AZ644" s="150" t="s">
        <v>997</v>
      </c>
      <c r="BA644" s="131" t="s">
        <v>977</v>
      </c>
      <c r="BC644" s="116">
        <f>AW644+AX644</f>
      </c>
      <c r="BD644" s="116">
        <f>G644/(100-BE644)*100</f>
      </c>
      <c r="BE644" s="116" t="n">
        <v>0</v>
      </c>
      <c r="BF644" s="116">
        <f>644</f>
      </c>
      <c r="BH644" s="116">
        <f>F644*AO644</f>
      </c>
      <c r="BI644" s="116">
        <f>F644*AP644</f>
      </c>
      <c r="BJ644" s="116">
        <f>F644*G644</f>
      </c>
      <c r="BK644" s="116"/>
      <c r="BL644" s="116"/>
      <c r="BW644" s="116" t="n">
        <v>21</v>
      </c>
      <c r="BX644" s="14" t="s">
        <v>1026</v>
      </c>
    </row>
    <row r="645" customHeight="true" ht="13.5">
      <c r="A645" s="151"/>
      <c r="C645" s="155" t="s">
        <v>1023</v>
      </c>
      <c r="D645" s="152"/>
      <c r="E645" s="152"/>
      <c r="F645" s="152"/>
      <c r="G645" s="152"/>
      <c r="H645" s="152"/>
      <c r="I645" s="152"/>
      <c r="J645" s="152"/>
      <c r="K645" s="156"/>
    </row>
    <row r="646">
      <c r="A646" s="151"/>
      <c r="C646" s="152" t="s">
        <v>213</v>
      </c>
      <c r="D646" s="152" t="s">
        <v>4</v>
      </c>
      <c r="F646" s="153" t="n">
        <v>10</v>
      </c>
      <c r="K646" s="154"/>
    </row>
    <row r="647">
      <c r="A647" s="9" t="s">
        <v>1027</v>
      </c>
      <c r="B647" s="10" t="s">
        <v>1028</v>
      </c>
      <c r="C647" s="14" t="s">
        <v>1029</v>
      </c>
      <c r="D647" s="10"/>
      <c r="E647" s="10" t="s">
        <v>216</v>
      </c>
      <c r="F647" s="116" t="n">
        <v>85</v>
      </c>
      <c r="G647" s="116" t="n">
        <v>0</v>
      </c>
      <c r="H647" s="116">
        <f>F647*AO647</f>
      </c>
      <c r="I647" s="116">
        <f>F647*AP647</f>
      </c>
      <c r="J647" s="116">
        <f>F647*G647</f>
      </c>
      <c r="K647" s="149" t="s">
        <v>159</v>
      </c>
      <c r="Z647" s="116">
        <f>IF(AQ647="5",BJ647,0)</f>
      </c>
      <c r="AB647" s="116">
        <f>IF(AQ647="1",BH647,0)</f>
      </c>
      <c r="AC647" s="116">
        <f>IF(AQ647="1",BI647,0)</f>
      </c>
      <c r="AD647" s="116">
        <f>IF(AQ647="7",BH647,0)</f>
      </c>
      <c r="AE647" s="116">
        <f>IF(AQ647="7",BI647,0)</f>
      </c>
      <c r="AF647" s="116">
        <f>IF(AQ647="2",BH647,0)</f>
      </c>
      <c r="AG647" s="116">
        <f>IF(AQ647="2",BI647,0)</f>
      </c>
      <c r="AH647" s="116">
        <f>IF(AQ647="0",BJ647,0)</f>
      </c>
      <c r="AI647" s="131" t="s">
        <v>117</v>
      </c>
      <c r="AJ647" s="116">
        <f>IF(AN647=0,J647,0)</f>
      </c>
      <c r="AK647" s="116">
        <f>IF(AN647=12,J647,0)</f>
      </c>
      <c r="AL647" s="116">
        <f>IF(AN647=21,J647,0)</f>
      </c>
      <c r="AN647" s="116" t="n">
        <v>21</v>
      </c>
      <c r="AO647" s="116">
        <f>G647*0.419911504</f>
      </c>
      <c r="AP647" s="116">
        <f>G647*(1-0.419911504)</f>
      </c>
      <c r="AQ647" s="150" t="s">
        <v>104</v>
      </c>
      <c r="AV647" s="116">
        <f>AW647+AX647</f>
      </c>
      <c r="AW647" s="116">
        <f>F647*AO647</f>
      </c>
      <c r="AX647" s="116">
        <f>F647*AP647</f>
      </c>
      <c r="AY647" s="150" t="s">
        <v>1017</v>
      </c>
      <c r="AZ647" s="150" t="s">
        <v>997</v>
      </c>
      <c r="BA647" s="131" t="s">
        <v>977</v>
      </c>
      <c r="BC647" s="116">
        <f>AW647+AX647</f>
      </c>
      <c r="BD647" s="116">
        <f>G647/(100-BE647)*100</f>
      </c>
      <c r="BE647" s="116" t="n">
        <v>0</v>
      </c>
      <c r="BF647" s="116">
        <f>647</f>
      </c>
      <c r="BH647" s="116">
        <f>F647*AO647</f>
      </c>
      <c r="BI647" s="116">
        <f>F647*AP647</f>
      </c>
      <c r="BJ647" s="116">
        <f>F647*G647</f>
      </c>
      <c r="BK647" s="116"/>
      <c r="BL647" s="116"/>
      <c r="BW647" s="116" t="n">
        <v>21</v>
      </c>
      <c r="BX647" s="14" t="s">
        <v>1029</v>
      </c>
    </row>
    <row r="648" customHeight="true" ht="13.5">
      <c r="A648" s="151"/>
      <c r="C648" s="155" t="s">
        <v>1030</v>
      </c>
      <c r="D648" s="152"/>
      <c r="E648" s="152"/>
      <c r="F648" s="152"/>
      <c r="G648" s="152"/>
      <c r="H648" s="152"/>
      <c r="I648" s="152"/>
      <c r="J648" s="152"/>
      <c r="K648" s="156"/>
    </row>
    <row r="649">
      <c r="A649" s="151"/>
      <c r="C649" s="152" t="s">
        <v>632</v>
      </c>
      <c r="D649" s="152" t="s">
        <v>4</v>
      </c>
      <c r="F649" s="153" t="n">
        <v>85</v>
      </c>
      <c r="K649" s="154"/>
    </row>
    <row r="650">
      <c r="A650" s="9" t="s">
        <v>1031</v>
      </c>
      <c r="B650" s="10" t="s">
        <v>1032</v>
      </c>
      <c r="C650" s="14" t="s">
        <v>1033</v>
      </c>
      <c r="D650" s="10"/>
      <c r="E650" s="10" t="s">
        <v>216</v>
      </c>
      <c r="F650" s="116" t="n">
        <v>75</v>
      </c>
      <c r="G650" s="116" t="n">
        <v>0</v>
      </c>
      <c r="H650" s="116">
        <f>F650*AO650</f>
      </c>
      <c r="I650" s="116">
        <f>F650*AP650</f>
      </c>
      <c r="J650" s="116">
        <f>F650*G650</f>
      </c>
      <c r="K650" s="149" t="s">
        <v>159</v>
      </c>
      <c r="Z650" s="116">
        <f>IF(AQ650="5",BJ650,0)</f>
      </c>
      <c r="AB650" s="116">
        <f>IF(AQ650="1",BH650,0)</f>
      </c>
      <c r="AC650" s="116">
        <f>IF(AQ650="1",BI650,0)</f>
      </c>
      <c r="AD650" s="116">
        <f>IF(AQ650="7",BH650,0)</f>
      </c>
      <c r="AE650" s="116">
        <f>IF(AQ650="7",BI650,0)</f>
      </c>
      <c r="AF650" s="116">
        <f>IF(AQ650="2",BH650,0)</f>
      </c>
      <c r="AG650" s="116">
        <f>IF(AQ650="2",BI650,0)</f>
      </c>
      <c r="AH650" s="116">
        <f>IF(AQ650="0",BJ650,0)</f>
      </c>
      <c r="AI650" s="131" t="s">
        <v>117</v>
      </c>
      <c r="AJ650" s="116">
        <f>IF(AN650=0,J650,0)</f>
      </c>
      <c r="AK650" s="116">
        <f>IF(AN650=12,J650,0)</f>
      </c>
      <c r="AL650" s="116">
        <f>IF(AN650=21,J650,0)</f>
      </c>
      <c r="AN650" s="116" t="n">
        <v>21</v>
      </c>
      <c r="AO650" s="116">
        <f>G650*0</f>
      </c>
      <c r="AP650" s="116">
        <f>G650*(1-0)</f>
      </c>
      <c r="AQ650" s="150" t="s">
        <v>104</v>
      </c>
      <c r="AV650" s="116">
        <f>AW650+AX650</f>
      </c>
      <c r="AW650" s="116">
        <f>F650*AO650</f>
      </c>
      <c r="AX650" s="116">
        <f>F650*AP650</f>
      </c>
      <c r="AY650" s="150" t="s">
        <v>1017</v>
      </c>
      <c r="AZ650" s="150" t="s">
        <v>997</v>
      </c>
      <c r="BA650" s="131" t="s">
        <v>977</v>
      </c>
      <c r="BC650" s="116">
        <f>AW650+AX650</f>
      </c>
      <c r="BD650" s="116">
        <f>G650/(100-BE650)*100</f>
      </c>
      <c r="BE650" s="116" t="n">
        <v>0</v>
      </c>
      <c r="BF650" s="116">
        <f>650</f>
      </c>
      <c r="BH650" s="116">
        <f>F650*AO650</f>
      </c>
      <c r="BI650" s="116">
        <f>F650*AP650</f>
      </c>
      <c r="BJ650" s="116">
        <f>F650*G650</f>
      </c>
      <c r="BK650" s="116"/>
      <c r="BL650" s="116"/>
      <c r="BW650" s="116" t="n">
        <v>21</v>
      </c>
      <c r="BX650" s="14" t="s">
        <v>1033</v>
      </c>
    </row>
    <row r="651">
      <c r="A651" s="151"/>
      <c r="C651" s="152" t="s">
        <v>591</v>
      </c>
      <c r="D651" s="152" t="s">
        <v>4</v>
      </c>
      <c r="F651" s="153" t="n">
        <v>75</v>
      </c>
      <c r="K651" s="154"/>
    </row>
    <row r="652">
      <c r="A652" s="9" t="s">
        <v>1034</v>
      </c>
      <c r="B652" s="10" t="s">
        <v>1035</v>
      </c>
      <c r="C652" s="14" t="s">
        <v>1036</v>
      </c>
      <c r="D652" s="10"/>
      <c r="E652" s="10" t="s">
        <v>216</v>
      </c>
      <c r="F652" s="116" t="n">
        <v>10</v>
      </c>
      <c r="G652" s="116" t="n">
        <v>0</v>
      </c>
      <c r="H652" s="116">
        <f>F652*AO652</f>
      </c>
      <c r="I652" s="116">
        <f>F652*AP652</f>
      </c>
      <c r="J652" s="116">
        <f>F652*G652</f>
      </c>
      <c r="K652" s="149" t="s">
        <v>159</v>
      </c>
      <c r="Z652" s="116">
        <f>IF(AQ652="5",BJ652,0)</f>
      </c>
      <c r="AB652" s="116">
        <f>IF(AQ652="1",BH652,0)</f>
      </c>
      <c r="AC652" s="116">
        <f>IF(AQ652="1",BI652,0)</f>
      </c>
      <c r="AD652" s="116">
        <f>IF(AQ652="7",BH652,0)</f>
      </c>
      <c r="AE652" s="116">
        <f>IF(AQ652="7",BI652,0)</f>
      </c>
      <c r="AF652" s="116">
        <f>IF(AQ652="2",BH652,0)</f>
      </c>
      <c r="AG652" s="116">
        <f>IF(AQ652="2",BI652,0)</f>
      </c>
      <c r="AH652" s="116">
        <f>IF(AQ652="0",BJ652,0)</f>
      </c>
      <c r="AI652" s="131" t="s">
        <v>117</v>
      </c>
      <c r="AJ652" s="116">
        <f>IF(AN652=0,J652,0)</f>
      </c>
      <c r="AK652" s="116">
        <f>IF(AN652=12,J652,0)</f>
      </c>
      <c r="AL652" s="116">
        <f>IF(AN652=21,J652,0)</f>
      </c>
      <c r="AN652" s="116" t="n">
        <v>21</v>
      </c>
      <c r="AO652" s="116">
        <f>G652*0</f>
      </c>
      <c r="AP652" s="116">
        <f>G652*(1-0)</f>
      </c>
      <c r="AQ652" s="150" t="s">
        <v>104</v>
      </c>
      <c r="AV652" s="116">
        <f>AW652+AX652</f>
      </c>
      <c r="AW652" s="116">
        <f>F652*AO652</f>
      </c>
      <c r="AX652" s="116">
        <f>F652*AP652</f>
      </c>
      <c r="AY652" s="150" t="s">
        <v>1017</v>
      </c>
      <c r="AZ652" s="150" t="s">
        <v>997</v>
      </c>
      <c r="BA652" s="131" t="s">
        <v>977</v>
      </c>
      <c r="BC652" s="116">
        <f>AW652+AX652</f>
      </c>
      <c r="BD652" s="116">
        <f>G652/(100-BE652)*100</f>
      </c>
      <c r="BE652" s="116" t="n">
        <v>0</v>
      </c>
      <c r="BF652" s="116">
        <f>652</f>
      </c>
      <c r="BH652" s="116">
        <f>F652*AO652</f>
      </c>
      <c r="BI652" s="116">
        <f>F652*AP652</f>
      </c>
      <c r="BJ652" s="116">
        <f>F652*G652</f>
      </c>
      <c r="BK652" s="116"/>
      <c r="BL652" s="116"/>
      <c r="BW652" s="116" t="n">
        <v>21</v>
      </c>
      <c r="BX652" s="14" t="s">
        <v>1036</v>
      </c>
    </row>
    <row r="653">
      <c r="A653" s="151"/>
      <c r="C653" s="152" t="s">
        <v>213</v>
      </c>
      <c r="D653" s="152" t="s">
        <v>4</v>
      </c>
      <c r="F653" s="153" t="n">
        <v>10</v>
      </c>
      <c r="K653" s="154"/>
    </row>
    <row r="654">
      <c r="A654" s="9" t="s">
        <v>1037</v>
      </c>
      <c r="B654" s="10" t="s">
        <v>1038</v>
      </c>
      <c r="C654" s="14" t="s">
        <v>1039</v>
      </c>
      <c r="D654" s="10"/>
      <c r="E654" s="10" t="s">
        <v>172</v>
      </c>
      <c r="F654" s="116" t="n">
        <v>6.25</v>
      </c>
      <c r="G654" s="116" t="n">
        <v>0</v>
      </c>
      <c r="H654" s="116">
        <f>F654*AO654</f>
      </c>
      <c r="I654" s="116">
        <f>F654*AP654</f>
      </c>
      <c r="J654" s="116">
        <f>F654*G654</f>
      </c>
      <c r="K654" s="149" t="s">
        <v>159</v>
      </c>
      <c r="Z654" s="116">
        <f>IF(AQ654="5",BJ654,0)</f>
      </c>
      <c r="AB654" s="116">
        <f>IF(AQ654="1",BH654,0)</f>
      </c>
      <c r="AC654" s="116">
        <f>IF(AQ654="1",BI654,0)</f>
      </c>
      <c r="AD654" s="116">
        <f>IF(AQ654="7",BH654,0)</f>
      </c>
      <c r="AE654" s="116">
        <f>IF(AQ654="7",BI654,0)</f>
      </c>
      <c r="AF654" s="116">
        <f>IF(AQ654="2",BH654,0)</f>
      </c>
      <c r="AG654" s="116">
        <f>IF(AQ654="2",BI654,0)</f>
      </c>
      <c r="AH654" s="116">
        <f>IF(AQ654="0",BJ654,0)</f>
      </c>
      <c r="AI654" s="131" t="s">
        <v>117</v>
      </c>
      <c r="AJ654" s="116">
        <f>IF(AN654=0,J654,0)</f>
      </c>
      <c r="AK654" s="116">
        <f>IF(AN654=12,J654,0)</f>
      </c>
      <c r="AL654" s="116">
        <f>IF(AN654=21,J654,0)</f>
      </c>
      <c r="AN654" s="116" t="n">
        <v>21</v>
      </c>
      <c r="AO654" s="116">
        <f>G654*0</f>
      </c>
      <c r="AP654" s="116">
        <f>G654*(1-0)</f>
      </c>
      <c r="AQ654" s="150" t="s">
        <v>104</v>
      </c>
      <c r="AV654" s="116">
        <f>AW654+AX654</f>
      </c>
      <c r="AW654" s="116">
        <f>F654*AO654</f>
      </c>
      <c r="AX654" s="116">
        <f>F654*AP654</f>
      </c>
      <c r="AY654" s="150" t="s">
        <v>1017</v>
      </c>
      <c r="AZ654" s="150" t="s">
        <v>997</v>
      </c>
      <c r="BA654" s="131" t="s">
        <v>977</v>
      </c>
      <c r="BC654" s="116">
        <f>AW654+AX654</f>
      </c>
      <c r="BD654" s="116">
        <f>G654/(100-BE654)*100</f>
      </c>
      <c r="BE654" s="116" t="n">
        <v>0</v>
      </c>
      <c r="BF654" s="116">
        <f>654</f>
      </c>
      <c r="BH654" s="116">
        <f>F654*AO654</f>
      </c>
      <c r="BI654" s="116">
        <f>F654*AP654</f>
      </c>
      <c r="BJ654" s="116">
        <f>F654*G654</f>
      </c>
      <c r="BK654" s="116"/>
      <c r="BL654" s="116"/>
      <c r="BW654" s="116" t="n">
        <v>21</v>
      </c>
      <c r="BX654" s="14" t="s">
        <v>1039</v>
      </c>
    </row>
    <row r="655" customHeight="true" ht="13.5">
      <c r="A655" s="151"/>
      <c r="C655" s="155" t="s">
        <v>1040</v>
      </c>
      <c r="D655" s="152"/>
      <c r="E655" s="152"/>
      <c r="F655" s="152"/>
      <c r="G655" s="152"/>
      <c r="H655" s="152"/>
      <c r="I655" s="152"/>
      <c r="J655" s="152"/>
      <c r="K655" s="156"/>
    </row>
    <row r="656">
      <c r="A656" s="151"/>
      <c r="C656" s="152" t="s">
        <v>986</v>
      </c>
      <c r="D656" s="152" t="s">
        <v>4</v>
      </c>
      <c r="F656" s="153" t="n">
        <v>6.25</v>
      </c>
      <c r="K656" s="154"/>
    </row>
    <row r="657">
      <c r="A657" s="9" t="s">
        <v>1041</v>
      </c>
      <c r="B657" s="10" t="s">
        <v>1042</v>
      </c>
      <c r="C657" s="14" t="s">
        <v>1043</v>
      </c>
      <c r="D657" s="10"/>
      <c r="E657" s="10" t="s">
        <v>172</v>
      </c>
      <c r="F657" s="116" t="n">
        <v>31.25</v>
      </c>
      <c r="G657" s="116" t="n">
        <v>0</v>
      </c>
      <c r="H657" s="116">
        <f>F657*AO657</f>
      </c>
      <c r="I657" s="116">
        <f>F657*AP657</f>
      </c>
      <c r="J657" s="116">
        <f>F657*G657</f>
      </c>
      <c r="K657" s="149" t="s">
        <v>159</v>
      </c>
      <c r="Z657" s="116">
        <f>IF(AQ657="5",BJ657,0)</f>
      </c>
      <c r="AB657" s="116">
        <f>IF(AQ657="1",BH657,0)</f>
      </c>
      <c r="AC657" s="116">
        <f>IF(AQ657="1",BI657,0)</f>
      </c>
      <c r="AD657" s="116">
        <f>IF(AQ657="7",BH657,0)</f>
      </c>
      <c r="AE657" s="116">
        <f>IF(AQ657="7",BI657,0)</f>
      </c>
      <c r="AF657" s="116">
        <f>IF(AQ657="2",BH657,0)</f>
      </c>
      <c r="AG657" s="116">
        <f>IF(AQ657="2",BI657,0)</f>
      </c>
      <c r="AH657" s="116">
        <f>IF(AQ657="0",BJ657,0)</f>
      </c>
      <c r="AI657" s="131" t="s">
        <v>117</v>
      </c>
      <c r="AJ657" s="116">
        <f>IF(AN657=0,J657,0)</f>
      </c>
      <c r="AK657" s="116">
        <f>IF(AN657=12,J657,0)</f>
      </c>
      <c r="AL657" s="116">
        <f>IF(AN657=21,J657,0)</f>
      </c>
      <c r="AN657" s="116" t="n">
        <v>21</v>
      </c>
      <c r="AO657" s="116">
        <f>G657*0</f>
      </c>
      <c r="AP657" s="116">
        <f>G657*(1-0)</f>
      </c>
      <c r="AQ657" s="150" t="s">
        <v>104</v>
      </c>
      <c r="AV657" s="116">
        <f>AW657+AX657</f>
      </c>
      <c r="AW657" s="116">
        <f>F657*AO657</f>
      </c>
      <c r="AX657" s="116">
        <f>F657*AP657</f>
      </c>
      <c r="AY657" s="150" t="s">
        <v>1017</v>
      </c>
      <c r="AZ657" s="150" t="s">
        <v>997</v>
      </c>
      <c r="BA657" s="131" t="s">
        <v>977</v>
      </c>
      <c r="BC657" s="116">
        <f>AW657+AX657</f>
      </c>
      <c r="BD657" s="116">
        <f>G657/(100-BE657)*100</f>
      </c>
      <c r="BE657" s="116" t="n">
        <v>0</v>
      </c>
      <c r="BF657" s="116">
        <f>657</f>
      </c>
      <c r="BH657" s="116">
        <f>F657*AO657</f>
      </c>
      <c r="BI657" s="116">
        <f>F657*AP657</f>
      </c>
      <c r="BJ657" s="116">
        <f>F657*G657</f>
      </c>
      <c r="BK657" s="116"/>
      <c r="BL657" s="116"/>
      <c r="BW657" s="116" t="n">
        <v>21</v>
      </c>
      <c r="BX657" s="14" t="s">
        <v>1043</v>
      </c>
    </row>
    <row r="658">
      <c r="A658" s="151"/>
      <c r="C658" s="152" t="s">
        <v>1044</v>
      </c>
      <c r="D658" s="152" t="s">
        <v>4</v>
      </c>
      <c r="F658" s="153" t="n">
        <v>31.25</v>
      </c>
      <c r="K658" s="154"/>
    </row>
    <row r="659">
      <c r="A659" s="144" t="s">
        <v>4</v>
      </c>
      <c r="B659" s="145" t="s">
        <v>1045</v>
      </c>
      <c r="C659" s="146" t="s">
        <v>1046</v>
      </c>
      <c r="D659" s="145"/>
      <c r="E659" s="147" t="s">
        <v>79</v>
      </c>
      <c r="F659" s="147" t="s">
        <v>79</v>
      </c>
      <c r="G659" s="147" t="s">
        <v>79</v>
      </c>
      <c r="H659" s="123">
        <f>SUM(H660:H699)</f>
      </c>
      <c r="I659" s="123">
        <f>SUM(I660:I699)</f>
      </c>
      <c r="J659" s="123">
        <f>SUM(J660:J699)</f>
      </c>
      <c r="K659" s="148" t="s">
        <v>4</v>
      </c>
      <c r="AI659" s="131" t="s">
        <v>117</v>
      </c>
      <c r="AS659" s="123">
        <f>SUM(AJ660:AJ699)</f>
      </c>
      <c r="AT659" s="123">
        <f>SUM(AK660:AK699)</f>
      </c>
      <c r="AU659" s="123">
        <f>SUM(AL660:AL699)</f>
      </c>
    </row>
    <row r="660">
      <c r="A660" s="9" t="s">
        <v>1047</v>
      </c>
      <c r="B660" s="10" t="s">
        <v>1048</v>
      </c>
      <c r="C660" s="14" t="s">
        <v>1049</v>
      </c>
      <c r="D660" s="10"/>
      <c r="E660" s="10" t="s">
        <v>216</v>
      </c>
      <c r="F660" s="116" t="n">
        <v>10</v>
      </c>
      <c r="G660" s="116" t="n">
        <v>0</v>
      </c>
      <c r="H660" s="116">
        <f>F660*AO660</f>
      </c>
      <c r="I660" s="116">
        <f>F660*AP660</f>
      </c>
      <c r="J660" s="116">
        <f>F660*G660</f>
      </c>
      <c r="K660" s="149" t="s">
        <v>202</v>
      </c>
      <c r="Z660" s="116">
        <f>IF(AQ660="5",BJ660,0)</f>
      </c>
      <c r="AB660" s="116">
        <f>IF(AQ660="1",BH660,0)</f>
      </c>
      <c r="AC660" s="116">
        <f>IF(AQ660="1",BI660,0)</f>
      </c>
      <c r="AD660" s="116">
        <f>IF(AQ660="7",BH660,0)</f>
      </c>
      <c r="AE660" s="116">
        <f>IF(AQ660="7",BI660,0)</f>
      </c>
      <c r="AF660" s="116">
        <f>IF(AQ660="2",BH660,0)</f>
      </c>
      <c r="AG660" s="116">
        <f>IF(AQ660="2",BI660,0)</f>
      </c>
      <c r="AH660" s="116">
        <f>IF(AQ660="0",BJ660,0)</f>
      </c>
      <c r="AI660" s="131" t="s">
        <v>117</v>
      </c>
      <c r="AJ660" s="116">
        <f>IF(AN660=0,J660,0)</f>
      </c>
      <c r="AK660" s="116">
        <f>IF(AN660=12,J660,0)</f>
      </c>
      <c r="AL660" s="116">
        <f>IF(AN660=21,J660,0)</f>
      </c>
      <c r="AN660" s="116" t="n">
        <v>21</v>
      </c>
      <c r="AO660" s="116">
        <f>G660*0</f>
      </c>
      <c r="AP660" s="116">
        <f>G660*(1-0)</f>
      </c>
      <c r="AQ660" s="150" t="s">
        <v>104</v>
      </c>
      <c r="AV660" s="116">
        <f>AW660+AX660</f>
      </c>
      <c r="AW660" s="116">
        <f>F660*AO660</f>
      </c>
      <c r="AX660" s="116">
        <f>F660*AP660</f>
      </c>
      <c r="AY660" s="150" t="s">
        <v>1050</v>
      </c>
      <c r="AZ660" s="150" t="s">
        <v>997</v>
      </c>
      <c r="BA660" s="131" t="s">
        <v>977</v>
      </c>
      <c r="BC660" s="116">
        <f>AW660+AX660</f>
      </c>
      <c r="BD660" s="116">
        <f>G660/(100-BE660)*100</f>
      </c>
      <c r="BE660" s="116" t="n">
        <v>0</v>
      </c>
      <c r="BF660" s="116">
        <f>660</f>
      </c>
      <c r="BH660" s="116">
        <f>F660*AO660</f>
      </c>
      <c r="BI660" s="116">
        <f>F660*AP660</f>
      </c>
      <c r="BJ660" s="116">
        <f>F660*G660</f>
      </c>
      <c r="BK660" s="116"/>
      <c r="BL660" s="116"/>
      <c r="BW660" s="116" t="n">
        <v>21</v>
      </c>
      <c r="BX660" s="14" t="s">
        <v>1049</v>
      </c>
    </row>
    <row r="661">
      <c r="A661" s="151"/>
      <c r="C661" s="152" t="s">
        <v>213</v>
      </c>
      <c r="D661" s="152" t="s">
        <v>4</v>
      </c>
      <c r="F661" s="153" t="n">
        <v>10</v>
      </c>
      <c r="K661" s="154"/>
    </row>
    <row r="662">
      <c r="A662" s="151"/>
      <c r="B662" s="157" t="s">
        <v>177</v>
      </c>
      <c r="C662" s="155" t="s">
        <v>1051</v>
      </c>
      <c r="D662" s="152"/>
      <c r="E662" s="152"/>
      <c r="F662" s="152"/>
      <c r="G662" s="152"/>
      <c r="H662" s="152"/>
      <c r="I662" s="152"/>
      <c r="J662" s="152"/>
      <c r="K662" s="156"/>
      <c r="BX662" s="155" t="s">
        <v>1051</v>
      </c>
    </row>
    <row r="663" ht="24.75">
      <c r="A663" s="9" t="s">
        <v>1052</v>
      </c>
      <c r="B663" s="10" t="s">
        <v>1053</v>
      </c>
      <c r="C663" s="14" t="s">
        <v>1054</v>
      </c>
      <c r="D663" s="10"/>
      <c r="E663" s="10" t="s">
        <v>216</v>
      </c>
      <c r="F663" s="116" t="n">
        <v>85</v>
      </c>
      <c r="G663" s="116" t="n">
        <v>0</v>
      </c>
      <c r="H663" s="116">
        <f>F663*AO663</f>
      </c>
      <c r="I663" s="116">
        <f>F663*AP663</f>
      </c>
      <c r="J663" s="116">
        <f>F663*G663</f>
      </c>
      <c r="K663" s="149" t="s">
        <v>202</v>
      </c>
      <c r="Z663" s="116">
        <f>IF(AQ663="5",BJ663,0)</f>
      </c>
      <c r="AB663" s="116">
        <f>IF(AQ663="1",BH663,0)</f>
      </c>
      <c r="AC663" s="116">
        <f>IF(AQ663="1",BI663,0)</f>
      </c>
      <c r="AD663" s="116">
        <f>IF(AQ663="7",BH663,0)</f>
      </c>
      <c r="AE663" s="116">
        <f>IF(AQ663="7",BI663,0)</f>
      </c>
      <c r="AF663" s="116">
        <f>IF(AQ663="2",BH663,0)</f>
      </c>
      <c r="AG663" s="116">
        <f>IF(AQ663="2",BI663,0)</f>
      </c>
      <c r="AH663" s="116">
        <f>IF(AQ663="0",BJ663,0)</f>
      </c>
      <c r="AI663" s="131" t="s">
        <v>117</v>
      </c>
      <c r="AJ663" s="116">
        <f>IF(AN663=0,J663,0)</f>
      </c>
      <c r="AK663" s="116">
        <f>IF(AN663=12,J663,0)</f>
      </c>
      <c r="AL663" s="116">
        <f>IF(AN663=21,J663,0)</f>
      </c>
      <c r="AN663" s="116" t="n">
        <v>21</v>
      </c>
      <c r="AO663" s="116">
        <f>G663*0</f>
      </c>
      <c r="AP663" s="116">
        <f>G663*(1-0)</f>
      </c>
      <c r="AQ663" s="150" t="s">
        <v>104</v>
      </c>
      <c r="AV663" s="116">
        <f>AW663+AX663</f>
      </c>
      <c r="AW663" s="116">
        <f>F663*AO663</f>
      </c>
      <c r="AX663" s="116">
        <f>F663*AP663</f>
      </c>
      <c r="AY663" s="150" t="s">
        <v>1050</v>
      </c>
      <c r="AZ663" s="150" t="s">
        <v>997</v>
      </c>
      <c r="BA663" s="131" t="s">
        <v>977</v>
      </c>
      <c r="BC663" s="116">
        <f>AW663+AX663</f>
      </c>
      <c r="BD663" s="116">
        <f>G663/(100-BE663)*100</f>
      </c>
      <c r="BE663" s="116" t="n">
        <v>0</v>
      </c>
      <c r="BF663" s="116">
        <f>663</f>
      </c>
      <c r="BH663" s="116">
        <f>F663*AO663</f>
      </c>
      <c r="BI663" s="116">
        <f>F663*AP663</f>
      </c>
      <c r="BJ663" s="116">
        <f>F663*G663</f>
      </c>
      <c r="BK663" s="116"/>
      <c r="BL663" s="116"/>
      <c r="BW663" s="116" t="n">
        <v>21</v>
      </c>
      <c r="BX663" s="14" t="s">
        <v>1054</v>
      </c>
    </row>
    <row r="664">
      <c r="A664" s="151"/>
      <c r="C664" s="152" t="s">
        <v>632</v>
      </c>
      <c r="D664" s="152" t="s">
        <v>4</v>
      </c>
      <c r="F664" s="153" t="n">
        <v>85</v>
      </c>
      <c r="K664" s="154"/>
    </row>
    <row r="665">
      <c r="A665" s="9" t="s">
        <v>1055</v>
      </c>
      <c r="B665" s="10" t="s">
        <v>1056</v>
      </c>
      <c r="C665" s="14" t="s">
        <v>1057</v>
      </c>
      <c r="D665" s="10"/>
      <c r="E665" s="10" t="s">
        <v>216</v>
      </c>
      <c r="F665" s="116" t="n">
        <v>85</v>
      </c>
      <c r="G665" s="116" t="n">
        <v>0</v>
      </c>
      <c r="H665" s="116">
        <f>F665*AO665</f>
      </c>
      <c r="I665" s="116">
        <f>F665*AP665</f>
      </c>
      <c r="J665" s="116">
        <f>F665*G665</f>
      </c>
      <c r="K665" s="149" t="s">
        <v>202</v>
      </c>
      <c r="Z665" s="116">
        <f>IF(AQ665="5",BJ665,0)</f>
      </c>
      <c r="AB665" s="116">
        <f>IF(AQ665="1",BH665,0)</f>
      </c>
      <c r="AC665" s="116">
        <f>IF(AQ665="1",BI665,0)</f>
      </c>
      <c r="AD665" s="116">
        <f>IF(AQ665="7",BH665,0)</f>
      </c>
      <c r="AE665" s="116">
        <f>IF(AQ665="7",BI665,0)</f>
      </c>
      <c r="AF665" s="116">
        <f>IF(AQ665="2",BH665,0)</f>
      </c>
      <c r="AG665" s="116">
        <f>IF(AQ665="2",BI665,0)</f>
      </c>
      <c r="AH665" s="116">
        <f>IF(AQ665="0",BJ665,0)</f>
      </c>
      <c r="AI665" s="131" t="s">
        <v>117</v>
      </c>
      <c r="AJ665" s="116">
        <f>IF(AN665=0,J665,0)</f>
      </c>
      <c r="AK665" s="116">
        <f>IF(AN665=12,J665,0)</f>
      </c>
      <c r="AL665" s="116">
        <f>IF(AN665=21,J665,0)</f>
      </c>
      <c r="AN665" s="116" t="n">
        <v>21</v>
      </c>
      <c r="AO665" s="116">
        <f>G665*0</f>
      </c>
      <c r="AP665" s="116">
        <f>G665*(1-0)</f>
      </c>
      <c r="AQ665" s="150" t="s">
        <v>104</v>
      </c>
      <c r="AV665" s="116">
        <f>AW665+AX665</f>
      </c>
      <c r="AW665" s="116">
        <f>F665*AO665</f>
      </c>
      <c r="AX665" s="116">
        <f>F665*AP665</f>
      </c>
      <c r="AY665" s="150" t="s">
        <v>1050</v>
      </c>
      <c r="AZ665" s="150" t="s">
        <v>997</v>
      </c>
      <c r="BA665" s="131" t="s">
        <v>977</v>
      </c>
      <c r="BC665" s="116">
        <f>AW665+AX665</f>
      </c>
      <c r="BD665" s="116">
        <f>G665/(100-BE665)*100</f>
      </c>
      <c r="BE665" s="116" t="n">
        <v>0</v>
      </c>
      <c r="BF665" s="116">
        <f>665</f>
      </c>
      <c r="BH665" s="116">
        <f>F665*AO665</f>
      </c>
      <c r="BI665" s="116">
        <f>F665*AP665</f>
      </c>
      <c r="BJ665" s="116">
        <f>F665*G665</f>
      </c>
      <c r="BK665" s="116"/>
      <c r="BL665" s="116"/>
      <c r="BW665" s="116" t="n">
        <v>21</v>
      </c>
      <c r="BX665" s="14" t="s">
        <v>1057</v>
      </c>
    </row>
    <row r="666">
      <c r="A666" s="151"/>
      <c r="C666" s="152" t="s">
        <v>632</v>
      </c>
      <c r="D666" s="152" t="s">
        <v>4</v>
      </c>
      <c r="F666" s="153" t="n">
        <v>85</v>
      </c>
      <c r="K666" s="154"/>
    </row>
    <row r="667">
      <c r="A667" s="9" t="s">
        <v>1058</v>
      </c>
      <c r="B667" s="10" t="s">
        <v>1059</v>
      </c>
      <c r="C667" s="14" t="s">
        <v>1060</v>
      </c>
      <c r="D667" s="10"/>
      <c r="E667" s="10" t="s">
        <v>463</v>
      </c>
      <c r="F667" s="116" t="n">
        <v>1</v>
      </c>
      <c r="G667" s="116" t="n">
        <v>0</v>
      </c>
      <c r="H667" s="116">
        <f>F667*AO667</f>
      </c>
      <c r="I667" s="116">
        <f>F667*AP667</f>
      </c>
      <c r="J667" s="116">
        <f>F667*G667</f>
      </c>
      <c r="K667" s="149" t="s">
        <v>202</v>
      </c>
      <c r="Z667" s="116">
        <f>IF(AQ667="5",BJ667,0)</f>
      </c>
      <c r="AB667" s="116">
        <f>IF(AQ667="1",BH667,0)</f>
      </c>
      <c r="AC667" s="116">
        <f>IF(AQ667="1",BI667,0)</f>
      </c>
      <c r="AD667" s="116">
        <f>IF(AQ667="7",BH667,0)</f>
      </c>
      <c r="AE667" s="116">
        <f>IF(AQ667="7",BI667,0)</f>
      </c>
      <c r="AF667" s="116">
        <f>IF(AQ667="2",BH667,0)</f>
      </c>
      <c r="AG667" s="116">
        <f>IF(AQ667="2",BI667,0)</f>
      </c>
      <c r="AH667" s="116">
        <f>IF(AQ667="0",BJ667,0)</f>
      </c>
      <c r="AI667" s="131" t="s">
        <v>117</v>
      </c>
      <c r="AJ667" s="116">
        <f>IF(AN667=0,J667,0)</f>
      </c>
      <c r="AK667" s="116">
        <f>IF(AN667=12,J667,0)</f>
      </c>
      <c r="AL667" s="116">
        <f>IF(AN667=21,J667,0)</f>
      </c>
      <c r="AN667" s="116" t="n">
        <v>21</v>
      </c>
      <c r="AO667" s="116">
        <f>G667*0</f>
      </c>
      <c r="AP667" s="116">
        <f>G667*(1-0)</f>
      </c>
      <c r="AQ667" s="150" t="s">
        <v>104</v>
      </c>
      <c r="AV667" s="116">
        <f>AW667+AX667</f>
      </c>
      <c r="AW667" s="116">
        <f>F667*AO667</f>
      </c>
      <c r="AX667" s="116">
        <f>F667*AP667</f>
      </c>
      <c r="AY667" s="150" t="s">
        <v>1050</v>
      </c>
      <c r="AZ667" s="150" t="s">
        <v>997</v>
      </c>
      <c r="BA667" s="131" t="s">
        <v>977</v>
      </c>
      <c r="BC667" s="116">
        <f>AW667+AX667</f>
      </c>
      <c r="BD667" s="116">
        <f>G667/(100-BE667)*100</f>
      </c>
      <c r="BE667" s="116" t="n">
        <v>0</v>
      </c>
      <c r="BF667" s="116">
        <f>667</f>
      </c>
      <c r="BH667" s="116">
        <f>F667*AO667</f>
      </c>
      <c r="BI667" s="116">
        <f>F667*AP667</f>
      </c>
      <c r="BJ667" s="116">
        <f>F667*G667</f>
      </c>
      <c r="BK667" s="116"/>
      <c r="BL667" s="116"/>
      <c r="BW667" s="116" t="n">
        <v>21</v>
      </c>
      <c r="BX667" s="14" t="s">
        <v>1060</v>
      </c>
    </row>
    <row r="668">
      <c r="A668" s="151"/>
      <c r="C668" s="152" t="s">
        <v>88</v>
      </c>
      <c r="D668" s="152" t="s">
        <v>4</v>
      </c>
      <c r="F668" s="153" t="n">
        <v>1</v>
      </c>
      <c r="K668" s="154"/>
    </row>
    <row r="669" customHeight="true" ht="27">
      <c r="A669" s="151"/>
      <c r="B669" s="157" t="s">
        <v>56</v>
      </c>
      <c r="C669" s="155" t="s">
        <v>1061</v>
      </c>
      <c r="D669" s="152"/>
      <c r="E669" s="152"/>
      <c r="F669" s="152"/>
      <c r="G669" s="152"/>
      <c r="H669" s="152"/>
      <c r="I669" s="152"/>
      <c r="J669" s="152"/>
      <c r="K669" s="156"/>
    </row>
    <row r="670">
      <c r="A670" s="9" t="s">
        <v>1062</v>
      </c>
      <c r="B670" s="10" t="s">
        <v>1063</v>
      </c>
      <c r="C670" s="14" t="s">
        <v>1064</v>
      </c>
      <c r="D670" s="10"/>
      <c r="E670" s="10" t="s">
        <v>463</v>
      </c>
      <c r="F670" s="116" t="n">
        <v>1</v>
      </c>
      <c r="G670" s="116" t="n">
        <v>0</v>
      </c>
      <c r="H670" s="116">
        <f>F670*AO670</f>
      </c>
      <c r="I670" s="116">
        <f>F670*AP670</f>
      </c>
      <c r="J670" s="116">
        <f>F670*G670</f>
      </c>
      <c r="K670" s="149" t="s">
        <v>202</v>
      </c>
      <c r="Z670" s="116">
        <f>IF(AQ670="5",BJ670,0)</f>
      </c>
      <c r="AB670" s="116">
        <f>IF(AQ670="1",BH670,0)</f>
      </c>
      <c r="AC670" s="116">
        <f>IF(AQ670="1",BI670,0)</f>
      </c>
      <c r="AD670" s="116">
        <f>IF(AQ670="7",BH670,0)</f>
      </c>
      <c r="AE670" s="116">
        <f>IF(AQ670="7",BI670,0)</f>
      </c>
      <c r="AF670" s="116">
        <f>IF(AQ670="2",BH670,0)</f>
      </c>
      <c r="AG670" s="116">
        <f>IF(AQ670="2",BI670,0)</f>
      </c>
      <c r="AH670" s="116">
        <f>IF(AQ670="0",BJ670,0)</f>
      </c>
      <c r="AI670" s="131" t="s">
        <v>117</v>
      </c>
      <c r="AJ670" s="116">
        <f>IF(AN670=0,J670,0)</f>
      </c>
      <c r="AK670" s="116">
        <f>IF(AN670=12,J670,0)</f>
      </c>
      <c r="AL670" s="116">
        <f>IF(AN670=21,J670,0)</f>
      </c>
      <c r="AN670" s="116" t="n">
        <v>21</v>
      </c>
      <c r="AO670" s="116">
        <f>G670*0</f>
      </c>
      <c r="AP670" s="116">
        <f>G670*(1-0)</f>
      </c>
      <c r="AQ670" s="150" t="s">
        <v>104</v>
      </c>
      <c r="AV670" s="116">
        <f>AW670+AX670</f>
      </c>
      <c r="AW670" s="116">
        <f>F670*AO670</f>
      </c>
      <c r="AX670" s="116">
        <f>F670*AP670</f>
      </c>
      <c r="AY670" s="150" t="s">
        <v>1050</v>
      </c>
      <c r="AZ670" s="150" t="s">
        <v>997</v>
      </c>
      <c r="BA670" s="131" t="s">
        <v>977</v>
      </c>
      <c r="BC670" s="116">
        <f>AW670+AX670</f>
      </c>
      <c r="BD670" s="116">
        <f>G670/(100-BE670)*100</f>
      </c>
      <c r="BE670" s="116" t="n">
        <v>0</v>
      </c>
      <c r="BF670" s="116">
        <f>670</f>
      </c>
      <c r="BH670" s="116">
        <f>F670*AO670</f>
      </c>
      <c r="BI670" s="116">
        <f>F670*AP670</f>
      </c>
      <c r="BJ670" s="116">
        <f>F670*G670</f>
      </c>
      <c r="BK670" s="116"/>
      <c r="BL670" s="116"/>
      <c r="BW670" s="116" t="n">
        <v>21</v>
      </c>
      <c r="BX670" s="14" t="s">
        <v>1064</v>
      </c>
    </row>
    <row r="671">
      <c r="A671" s="151"/>
      <c r="C671" s="152" t="s">
        <v>88</v>
      </c>
      <c r="D671" s="152" t="s">
        <v>4</v>
      </c>
      <c r="F671" s="153" t="n">
        <v>1</v>
      </c>
      <c r="K671" s="154"/>
    </row>
    <row r="672" customHeight="true" ht="13.5">
      <c r="A672" s="151"/>
      <c r="B672" s="157" t="s">
        <v>56</v>
      </c>
      <c r="C672" s="155" t="s">
        <v>1065</v>
      </c>
      <c r="D672" s="152"/>
      <c r="E672" s="152"/>
      <c r="F672" s="152"/>
      <c r="G672" s="152"/>
      <c r="H672" s="152"/>
      <c r="I672" s="152"/>
      <c r="J672" s="152"/>
      <c r="K672" s="156"/>
    </row>
    <row r="673">
      <c r="A673" s="9" t="s">
        <v>1066</v>
      </c>
      <c r="B673" s="10" t="s">
        <v>1067</v>
      </c>
      <c r="C673" s="14" t="s">
        <v>1068</v>
      </c>
      <c r="D673" s="10"/>
      <c r="E673" s="10" t="s">
        <v>463</v>
      </c>
      <c r="F673" s="116" t="n">
        <v>1</v>
      </c>
      <c r="G673" s="116" t="n">
        <v>0</v>
      </c>
      <c r="H673" s="116">
        <f>F673*AO673</f>
      </c>
      <c r="I673" s="116">
        <f>F673*AP673</f>
      </c>
      <c r="J673" s="116">
        <f>F673*G673</f>
      </c>
      <c r="K673" s="149" t="s">
        <v>202</v>
      </c>
      <c r="Z673" s="116">
        <f>IF(AQ673="5",BJ673,0)</f>
      </c>
      <c r="AB673" s="116">
        <f>IF(AQ673="1",BH673,0)</f>
      </c>
      <c r="AC673" s="116">
        <f>IF(AQ673="1",BI673,0)</f>
      </c>
      <c r="AD673" s="116">
        <f>IF(AQ673="7",BH673,0)</f>
      </c>
      <c r="AE673" s="116">
        <f>IF(AQ673="7",BI673,0)</f>
      </c>
      <c r="AF673" s="116">
        <f>IF(AQ673="2",BH673,0)</f>
      </c>
      <c r="AG673" s="116">
        <f>IF(AQ673="2",BI673,0)</f>
      </c>
      <c r="AH673" s="116">
        <f>IF(AQ673="0",BJ673,0)</f>
      </c>
      <c r="AI673" s="131" t="s">
        <v>117</v>
      </c>
      <c r="AJ673" s="116">
        <f>IF(AN673=0,J673,0)</f>
      </c>
      <c r="AK673" s="116">
        <f>IF(AN673=12,J673,0)</f>
      </c>
      <c r="AL673" s="116">
        <f>IF(AN673=21,J673,0)</f>
      </c>
      <c r="AN673" s="116" t="n">
        <v>21</v>
      </c>
      <c r="AO673" s="116">
        <f>G673*0</f>
      </c>
      <c r="AP673" s="116">
        <f>G673*(1-0)</f>
      </c>
      <c r="AQ673" s="150" t="s">
        <v>104</v>
      </c>
      <c r="AV673" s="116">
        <f>AW673+AX673</f>
      </c>
      <c r="AW673" s="116">
        <f>F673*AO673</f>
      </c>
      <c r="AX673" s="116">
        <f>F673*AP673</f>
      </c>
      <c r="AY673" s="150" t="s">
        <v>1050</v>
      </c>
      <c r="AZ673" s="150" t="s">
        <v>997</v>
      </c>
      <c r="BA673" s="131" t="s">
        <v>977</v>
      </c>
      <c r="BC673" s="116">
        <f>AW673+AX673</f>
      </c>
      <c r="BD673" s="116">
        <f>G673/(100-BE673)*100</f>
      </c>
      <c r="BE673" s="116" t="n">
        <v>0</v>
      </c>
      <c r="BF673" s="116">
        <f>673</f>
      </c>
      <c r="BH673" s="116">
        <f>F673*AO673</f>
      </c>
      <c r="BI673" s="116">
        <f>F673*AP673</f>
      </c>
      <c r="BJ673" s="116">
        <f>F673*G673</f>
      </c>
      <c r="BK673" s="116"/>
      <c r="BL673" s="116"/>
      <c r="BW673" s="116" t="n">
        <v>21</v>
      </c>
      <c r="BX673" s="14" t="s">
        <v>1068</v>
      </c>
    </row>
    <row r="674" customHeight="true" ht="13.5">
      <c r="A674" s="151"/>
      <c r="C674" s="155" t="s">
        <v>1069</v>
      </c>
      <c r="D674" s="152"/>
      <c r="E674" s="152"/>
      <c r="F674" s="152"/>
      <c r="G674" s="152"/>
      <c r="H674" s="152"/>
      <c r="I674" s="152"/>
      <c r="J674" s="152"/>
      <c r="K674" s="156"/>
    </row>
    <row r="675">
      <c r="A675" s="151"/>
      <c r="C675" s="152" t="s">
        <v>88</v>
      </c>
      <c r="D675" s="152" t="s">
        <v>4</v>
      </c>
      <c r="F675" s="153" t="n">
        <v>1</v>
      </c>
      <c r="K675" s="154"/>
    </row>
    <row r="676">
      <c r="A676" s="9" t="s">
        <v>1070</v>
      </c>
      <c r="B676" s="10" t="s">
        <v>1071</v>
      </c>
      <c r="C676" s="14" t="s">
        <v>1072</v>
      </c>
      <c r="D676" s="10"/>
      <c r="E676" s="10" t="s">
        <v>463</v>
      </c>
      <c r="F676" s="116" t="n">
        <v>2</v>
      </c>
      <c r="G676" s="116" t="n">
        <v>0</v>
      </c>
      <c r="H676" s="116">
        <f>F676*AO676</f>
      </c>
      <c r="I676" s="116">
        <f>F676*AP676</f>
      </c>
      <c r="J676" s="116">
        <f>F676*G676</f>
      </c>
      <c r="K676" s="149" t="s">
        <v>202</v>
      </c>
      <c r="Z676" s="116">
        <f>IF(AQ676="5",BJ676,0)</f>
      </c>
      <c r="AB676" s="116">
        <f>IF(AQ676="1",BH676,0)</f>
      </c>
      <c r="AC676" s="116">
        <f>IF(AQ676="1",BI676,0)</f>
      </c>
      <c r="AD676" s="116">
        <f>IF(AQ676="7",BH676,0)</f>
      </c>
      <c r="AE676" s="116">
        <f>IF(AQ676="7",BI676,0)</f>
      </c>
      <c r="AF676" s="116">
        <f>IF(AQ676="2",BH676,0)</f>
      </c>
      <c r="AG676" s="116">
        <f>IF(AQ676="2",BI676,0)</f>
      </c>
      <c r="AH676" s="116">
        <f>IF(AQ676="0",BJ676,0)</f>
      </c>
      <c r="AI676" s="131" t="s">
        <v>117</v>
      </c>
      <c r="AJ676" s="116">
        <f>IF(AN676=0,J676,0)</f>
      </c>
      <c r="AK676" s="116">
        <f>IF(AN676=12,J676,0)</f>
      </c>
      <c r="AL676" s="116">
        <f>IF(AN676=21,J676,0)</f>
      </c>
      <c r="AN676" s="116" t="n">
        <v>21</v>
      </c>
      <c r="AO676" s="116">
        <f>G676*0</f>
      </c>
      <c r="AP676" s="116">
        <f>G676*(1-0)</f>
      </c>
      <c r="AQ676" s="150" t="s">
        <v>104</v>
      </c>
      <c r="AV676" s="116">
        <f>AW676+AX676</f>
      </c>
      <c r="AW676" s="116">
        <f>F676*AO676</f>
      </c>
      <c r="AX676" s="116">
        <f>F676*AP676</f>
      </c>
      <c r="AY676" s="150" t="s">
        <v>1050</v>
      </c>
      <c r="AZ676" s="150" t="s">
        <v>997</v>
      </c>
      <c r="BA676" s="131" t="s">
        <v>977</v>
      </c>
      <c r="BC676" s="116">
        <f>AW676+AX676</f>
      </c>
      <c r="BD676" s="116">
        <f>G676/(100-BE676)*100</f>
      </c>
      <c r="BE676" s="116" t="n">
        <v>0</v>
      </c>
      <c r="BF676" s="116">
        <f>676</f>
      </c>
      <c r="BH676" s="116">
        <f>F676*AO676</f>
      </c>
      <c r="BI676" s="116">
        <f>F676*AP676</f>
      </c>
      <c r="BJ676" s="116">
        <f>F676*G676</f>
      </c>
      <c r="BK676" s="116"/>
      <c r="BL676" s="116"/>
      <c r="BW676" s="116" t="n">
        <v>21</v>
      </c>
      <c r="BX676" s="14" t="s">
        <v>1072</v>
      </c>
    </row>
    <row r="677">
      <c r="A677" s="151"/>
      <c r="C677" s="152" t="s">
        <v>104</v>
      </c>
      <c r="D677" s="152" t="s">
        <v>4</v>
      </c>
      <c r="F677" s="153" t="n">
        <v>2</v>
      </c>
      <c r="K677" s="154"/>
    </row>
    <row r="678">
      <c r="A678" s="9" t="s">
        <v>1073</v>
      </c>
      <c r="B678" s="10" t="s">
        <v>1074</v>
      </c>
      <c r="C678" s="14" t="s">
        <v>1075</v>
      </c>
      <c r="D678" s="10"/>
      <c r="E678" s="10" t="s">
        <v>463</v>
      </c>
      <c r="F678" s="116" t="n">
        <v>2</v>
      </c>
      <c r="G678" s="116" t="n">
        <v>0</v>
      </c>
      <c r="H678" s="116">
        <f>F678*AO678</f>
      </c>
      <c r="I678" s="116">
        <f>F678*AP678</f>
      </c>
      <c r="J678" s="116">
        <f>F678*G678</f>
      </c>
      <c r="K678" s="149" t="s">
        <v>202</v>
      </c>
      <c r="Z678" s="116">
        <f>IF(AQ678="5",BJ678,0)</f>
      </c>
      <c r="AB678" s="116">
        <f>IF(AQ678="1",BH678,0)</f>
      </c>
      <c r="AC678" s="116">
        <f>IF(AQ678="1",BI678,0)</f>
      </c>
      <c r="AD678" s="116">
        <f>IF(AQ678="7",BH678,0)</f>
      </c>
      <c r="AE678" s="116">
        <f>IF(AQ678="7",BI678,0)</f>
      </c>
      <c r="AF678" s="116">
        <f>IF(AQ678="2",BH678,0)</f>
      </c>
      <c r="AG678" s="116">
        <f>IF(AQ678="2",BI678,0)</f>
      </c>
      <c r="AH678" s="116">
        <f>IF(AQ678="0",BJ678,0)</f>
      </c>
      <c r="AI678" s="131" t="s">
        <v>117</v>
      </c>
      <c r="AJ678" s="116">
        <f>IF(AN678=0,J678,0)</f>
      </c>
      <c r="AK678" s="116">
        <f>IF(AN678=12,J678,0)</f>
      </c>
      <c r="AL678" s="116">
        <f>IF(AN678=21,J678,0)</f>
      </c>
      <c r="AN678" s="116" t="n">
        <v>21</v>
      </c>
      <c r="AO678" s="116">
        <f>G678*0</f>
      </c>
      <c r="AP678" s="116">
        <f>G678*(1-0)</f>
      </c>
      <c r="AQ678" s="150" t="s">
        <v>104</v>
      </c>
      <c r="AV678" s="116">
        <f>AW678+AX678</f>
      </c>
      <c r="AW678" s="116">
        <f>F678*AO678</f>
      </c>
      <c r="AX678" s="116">
        <f>F678*AP678</f>
      </c>
      <c r="AY678" s="150" t="s">
        <v>1050</v>
      </c>
      <c r="AZ678" s="150" t="s">
        <v>997</v>
      </c>
      <c r="BA678" s="131" t="s">
        <v>977</v>
      </c>
      <c r="BC678" s="116">
        <f>AW678+AX678</f>
      </c>
      <c r="BD678" s="116">
        <f>G678/(100-BE678)*100</f>
      </c>
      <c r="BE678" s="116" t="n">
        <v>0</v>
      </c>
      <c r="BF678" s="116">
        <f>678</f>
      </c>
      <c r="BH678" s="116">
        <f>F678*AO678</f>
      </c>
      <c r="BI678" s="116">
        <f>F678*AP678</f>
      </c>
      <c r="BJ678" s="116">
        <f>F678*G678</f>
      </c>
      <c r="BK678" s="116"/>
      <c r="BL678" s="116"/>
      <c r="BW678" s="116" t="n">
        <v>21</v>
      </c>
      <c r="BX678" s="14" t="s">
        <v>1075</v>
      </c>
    </row>
    <row r="679" customHeight="true" ht="13.5">
      <c r="A679" s="151"/>
      <c r="C679" s="155" t="s">
        <v>1076</v>
      </c>
      <c r="D679" s="152"/>
      <c r="E679" s="152"/>
      <c r="F679" s="152"/>
      <c r="G679" s="152"/>
      <c r="H679" s="152"/>
      <c r="I679" s="152"/>
      <c r="J679" s="152"/>
      <c r="K679" s="156"/>
    </row>
    <row r="680">
      <c r="A680" s="151"/>
      <c r="C680" s="152" t="s">
        <v>104</v>
      </c>
      <c r="D680" s="152" t="s">
        <v>4</v>
      </c>
      <c r="F680" s="153" t="n">
        <v>2</v>
      </c>
      <c r="K680" s="154"/>
    </row>
    <row r="681">
      <c r="A681" s="9" t="s">
        <v>1077</v>
      </c>
      <c r="B681" s="10" t="s">
        <v>1078</v>
      </c>
      <c r="C681" s="14" t="s">
        <v>1079</v>
      </c>
      <c r="D681" s="10"/>
      <c r="E681" s="10" t="s">
        <v>216</v>
      </c>
      <c r="F681" s="116" t="n">
        <v>105</v>
      </c>
      <c r="G681" s="116" t="n">
        <v>0</v>
      </c>
      <c r="H681" s="116">
        <f>F681*AO681</f>
      </c>
      <c r="I681" s="116">
        <f>F681*AP681</f>
      </c>
      <c r="J681" s="116">
        <f>F681*G681</f>
      </c>
      <c r="K681" s="149" t="s">
        <v>159</v>
      </c>
      <c r="Z681" s="116">
        <f>IF(AQ681="5",BJ681,0)</f>
      </c>
      <c r="AB681" s="116">
        <f>IF(AQ681="1",BH681,0)</f>
      </c>
      <c r="AC681" s="116">
        <f>IF(AQ681="1",BI681,0)</f>
      </c>
      <c r="AD681" s="116">
        <f>IF(AQ681="7",BH681,0)</f>
      </c>
      <c r="AE681" s="116">
        <f>IF(AQ681="7",BI681,0)</f>
      </c>
      <c r="AF681" s="116">
        <f>IF(AQ681="2",BH681,0)</f>
      </c>
      <c r="AG681" s="116">
        <f>IF(AQ681="2",BI681,0)</f>
      </c>
      <c r="AH681" s="116">
        <f>IF(AQ681="0",BJ681,0)</f>
      </c>
      <c r="AI681" s="131" t="s">
        <v>117</v>
      </c>
      <c r="AJ681" s="116">
        <f>IF(AN681=0,J681,0)</f>
      </c>
      <c r="AK681" s="116">
        <f>IF(AN681=12,J681,0)</f>
      </c>
      <c r="AL681" s="116">
        <f>IF(AN681=21,J681,0)</f>
      </c>
      <c r="AN681" s="116" t="n">
        <v>21</v>
      </c>
      <c r="AO681" s="116">
        <f>G681*0.685532995</f>
      </c>
      <c r="AP681" s="116">
        <f>G681*(1-0.685532995)</f>
      </c>
      <c r="AQ681" s="150" t="s">
        <v>104</v>
      </c>
      <c r="AV681" s="116">
        <f>AW681+AX681</f>
      </c>
      <c r="AW681" s="116">
        <f>F681*AO681</f>
      </c>
      <c r="AX681" s="116">
        <f>F681*AP681</f>
      </c>
      <c r="AY681" s="150" t="s">
        <v>1050</v>
      </c>
      <c r="AZ681" s="150" t="s">
        <v>997</v>
      </c>
      <c r="BA681" s="131" t="s">
        <v>977</v>
      </c>
      <c r="BC681" s="116">
        <f>AW681+AX681</f>
      </c>
      <c r="BD681" s="116">
        <f>G681/(100-BE681)*100</f>
      </c>
      <c r="BE681" s="116" t="n">
        <v>0</v>
      </c>
      <c r="BF681" s="116">
        <f>681</f>
      </c>
      <c r="BH681" s="116">
        <f>F681*AO681</f>
      </c>
      <c r="BI681" s="116">
        <f>F681*AP681</f>
      </c>
      <c r="BJ681" s="116">
        <f>F681*G681</f>
      </c>
      <c r="BK681" s="116"/>
      <c r="BL681" s="116"/>
      <c r="BW681" s="116" t="n">
        <v>21</v>
      </c>
      <c r="BX681" s="14" t="s">
        <v>1079</v>
      </c>
    </row>
    <row r="682" customHeight="true" ht="13.5">
      <c r="A682" s="151"/>
      <c r="C682" s="155" t="s">
        <v>1080</v>
      </c>
      <c r="D682" s="152"/>
      <c r="E682" s="152"/>
      <c r="F682" s="152"/>
      <c r="G682" s="152"/>
      <c r="H682" s="152"/>
      <c r="I682" s="152"/>
      <c r="J682" s="152"/>
      <c r="K682" s="156"/>
    </row>
    <row r="683">
      <c r="A683" s="151"/>
      <c r="C683" s="152" t="s">
        <v>722</v>
      </c>
      <c r="D683" s="152" t="s">
        <v>4</v>
      </c>
      <c r="F683" s="153" t="n">
        <v>105</v>
      </c>
      <c r="K683" s="154"/>
    </row>
    <row r="684">
      <c r="A684" s="9" t="s">
        <v>1081</v>
      </c>
      <c r="B684" s="10" t="s">
        <v>1082</v>
      </c>
      <c r="C684" s="14" t="s">
        <v>1083</v>
      </c>
      <c r="D684" s="10"/>
      <c r="E684" s="10" t="s">
        <v>216</v>
      </c>
      <c r="F684" s="116" t="n">
        <v>10</v>
      </c>
      <c r="G684" s="116" t="n">
        <v>0</v>
      </c>
      <c r="H684" s="116">
        <f>F684*AO684</f>
      </c>
      <c r="I684" s="116">
        <f>F684*AP684</f>
      </c>
      <c r="J684" s="116">
        <f>F684*G684</f>
      </c>
      <c r="K684" s="149" t="s">
        <v>159</v>
      </c>
      <c r="Z684" s="116">
        <f>IF(AQ684="5",BJ684,0)</f>
      </c>
      <c r="AB684" s="116">
        <f>IF(AQ684="1",BH684,0)</f>
      </c>
      <c r="AC684" s="116">
        <f>IF(AQ684="1",BI684,0)</f>
      </c>
      <c r="AD684" s="116">
        <f>IF(AQ684="7",BH684,0)</f>
      </c>
      <c r="AE684" s="116">
        <f>IF(AQ684="7",BI684,0)</f>
      </c>
      <c r="AF684" s="116">
        <f>IF(AQ684="2",BH684,0)</f>
      </c>
      <c r="AG684" s="116">
        <f>IF(AQ684="2",BI684,0)</f>
      </c>
      <c r="AH684" s="116">
        <f>IF(AQ684="0",BJ684,0)</f>
      </c>
      <c r="AI684" s="131" t="s">
        <v>117</v>
      </c>
      <c r="AJ684" s="116">
        <f>IF(AN684=0,J684,0)</f>
      </c>
      <c r="AK684" s="116">
        <f>IF(AN684=12,J684,0)</f>
      </c>
      <c r="AL684" s="116">
        <f>IF(AN684=21,J684,0)</f>
      </c>
      <c r="AN684" s="116" t="n">
        <v>21</v>
      </c>
      <c r="AO684" s="116">
        <f>G684*0.21771978</f>
      </c>
      <c r="AP684" s="116">
        <f>G684*(1-0.21771978)</f>
      </c>
      <c r="AQ684" s="150" t="s">
        <v>104</v>
      </c>
      <c r="AV684" s="116">
        <f>AW684+AX684</f>
      </c>
      <c r="AW684" s="116">
        <f>F684*AO684</f>
      </c>
      <c r="AX684" s="116">
        <f>F684*AP684</f>
      </c>
      <c r="AY684" s="150" t="s">
        <v>1050</v>
      </c>
      <c r="AZ684" s="150" t="s">
        <v>997</v>
      </c>
      <c r="BA684" s="131" t="s">
        <v>977</v>
      </c>
      <c r="BC684" s="116">
        <f>AW684+AX684</f>
      </c>
      <c r="BD684" s="116">
        <f>G684/(100-BE684)*100</f>
      </c>
      <c r="BE684" s="116" t="n">
        <v>0</v>
      </c>
      <c r="BF684" s="116">
        <f>684</f>
      </c>
      <c r="BH684" s="116">
        <f>F684*AO684</f>
      </c>
      <c r="BI684" s="116">
        <f>F684*AP684</f>
      </c>
      <c r="BJ684" s="116">
        <f>F684*G684</f>
      </c>
      <c r="BK684" s="116"/>
      <c r="BL684" s="116"/>
      <c r="BW684" s="116" t="n">
        <v>21</v>
      </c>
      <c r="BX684" s="14" t="s">
        <v>1083</v>
      </c>
    </row>
    <row r="685" customHeight="true" ht="13.5">
      <c r="A685" s="151"/>
      <c r="C685" s="155" t="s">
        <v>1084</v>
      </c>
      <c r="D685" s="152"/>
      <c r="E685" s="152"/>
      <c r="F685" s="152"/>
      <c r="G685" s="152"/>
      <c r="H685" s="152"/>
      <c r="I685" s="152"/>
      <c r="J685" s="152"/>
      <c r="K685" s="156"/>
    </row>
    <row r="686">
      <c r="A686" s="151"/>
      <c r="C686" s="152" t="s">
        <v>213</v>
      </c>
      <c r="D686" s="152" t="s">
        <v>4</v>
      </c>
      <c r="F686" s="153" t="n">
        <v>10</v>
      </c>
      <c r="K686" s="154"/>
    </row>
    <row r="687">
      <c r="A687" s="9" t="s">
        <v>1085</v>
      </c>
      <c r="B687" s="10" t="s">
        <v>1086</v>
      </c>
      <c r="C687" s="14" t="s">
        <v>1087</v>
      </c>
      <c r="D687" s="10"/>
      <c r="E687" s="10" t="s">
        <v>216</v>
      </c>
      <c r="F687" s="116" t="n">
        <v>85</v>
      </c>
      <c r="G687" s="116" t="n">
        <v>0</v>
      </c>
      <c r="H687" s="116">
        <f>F687*AO687</f>
      </c>
      <c r="I687" s="116">
        <f>F687*AP687</f>
      </c>
      <c r="J687" s="116">
        <f>F687*G687</f>
      </c>
      <c r="K687" s="149" t="s">
        <v>159</v>
      </c>
      <c r="Z687" s="116">
        <f>IF(AQ687="5",BJ687,0)</f>
      </c>
      <c r="AB687" s="116">
        <f>IF(AQ687="1",BH687,0)</f>
      </c>
      <c r="AC687" s="116">
        <f>IF(AQ687="1",BI687,0)</f>
      </c>
      <c r="AD687" s="116">
        <f>IF(AQ687="7",BH687,0)</f>
      </c>
      <c r="AE687" s="116">
        <f>IF(AQ687="7",BI687,0)</f>
      </c>
      <c r="AF687" s="116">
        <f>IF(AQ687="2",BH687,0)</f>
      </c>
      <c r="AG687" s="116">
        <f>IF(AQ687="2",BI687,0)</f>
      </c>
      <c r="AH687" s="116">
        <f>IF(AQ687="0",BJ687,0)</f>
      </c>
      <c r="AI687" s="131" t="s">
        <v>117</v>
      </c>
      <c r="AJ687" s="116">
        <f>IF(AN687=0,J687,0)</f>
      </c>
      <c r="AK687" s="116">
        <f>IF(AN687=12,J687,0)</f>
      </c>
      <c r="AL687" s="116">
        <f>IF(AN687=21,J687,0)</f>
      </c>
      <c r="AN687" s="116" t="n">
        <v>21</v>
      </c>
      <c r="AO687" s="116">
        <f>G687*0.305481121</f>
      </c>
      <c r="AP687" s="116">
        <f>G687*(1-0.305481121)</f>
      </c>
      <c r="AQ687" s="150" t="s">
        <v>104</v>
      </c>
      <c r="AV687" s="116">
        <f>AW687+AX687</f>
      </c>
      <c r="AW687" s="116">
        <f>F687*AO687</f>
      </c>
      <c r="AX687" s="116">
        <f>F687*AP687</f>
      </c>
      <c r="AY687" s="150" t="s">
        <v>1050</v>
      </c>
      <c r="AZ687" s="150" t="s">
        <v>997</v>
      </c>
      <c r="BA687" s="131" t="s">
        <v>977</v>
      </c>
      <c r="BC687" s="116">
        <f>AW687+AX687</f>
      </c>
      <c r="BD687" s="116">
        <f>G687/(100-BE687)*100</f>
      </c>
      <c r="BE687" s="116" t="n">
        <v>0</v>
      </c>
      <c r="BF687" s="116">
        <f>687</f>
      </c>
      <c r="BH687" s="116">
        <f>F687*AO687</f>
      </c>
      <c r="BI687" s="116">
        <f>F687*AP687</f>
      </c>
      <c r="BJ687" s="116">
        <f>F687*G687</f>
      </c>
      <c r="BK687" s="116"/>
      <c r="BL687" s="116"/>
      <c r="BW687" s="116" t="n">
        <v>21</v>
      </c>
      <c r="BX687" s="14" t="s">
        <v>1087</v>
      </c>
    </row>
    <row r="688" customHeight="true" ht="13.5">
      <c r="A688" s="151"/>
      <c r="C688" s="155" t="s">
        <v>1088</v>
      </c>
      <c r="D688" s="152"/>
      <c r="E688" s="152"/>
      <c r="F688" s="152"/>
      <c r="G688" s="152"/>
      <c r="H688" s="152"/>
      <c r="I688" s="152"/>
      <c r="J688" s="152"/>
      <c r="K688" s="156"/>
    </row>
    <row r="689">
      <c r="A689" s="151"/>
      <c r="C689" s="152" t="s">
        <v>632</v>
      </c>
      <c r="D689" s="152" t="s">
        <v>4</v>
      </c>
      <c r="F689" s="153" t="n">
        <v>85</v>
      </c>
      <c r="K689" s="154"/>
    </row>
    <row r="690">
      <c r="A690" s="9" t="s">
        <v>1089</v>
      </c>
      <c r="B690" s="10" t="s">
        <v>1090</v>
      </c>
      <c r="C690" s="14" t="s">
        <v>1091</v>
      </c>
      <c r="D690" s="10"/>
      <c r="E690" s="10" t="s">
        <v>216</v>
      </c>
      <c r="F690" s="116" t="n">
        <v>210</v>
      </c>
      <c r="G690" s="116" t="n">
        <v>0</v>
      </c>
      <c r="H690" s="116">
        <f>F690*AO690</f>
      </c>
      <c r="I690" s="116">
        <f>F690*AP690</f>
      </c>
      <c r="J690" s="116">
        <f>F690*G690</f>
      </c>
      <c r="K690" s="149" t="s">
        <v>159</v>
      </c>
      <c r="Z690" s="116">
        <f>IF(AQ690="5",BJ690,0)</f>
      </c>
      <c r="AB690" s="116">
        <f>IF(AQ690="1",BH690,0)</f>
      </c>
      <c r="AC690" s="116">
        <f>IF(AQ690="1",BI690,0)</f>
      </c>
      <c r="AD690" s="116">
        <f>IF(AQ690="7",BH690,0)</f>
      </c>
      <c r="AE690" s="116">
        <f>IF(AQ690="7",BI690,0)</f>
      </c>
      <c r="AF690" s="116">
        <f>IF(AQ690="2",BH690,0)</f>
      </c>
      <c r="AG690" s="116">
        <f>IF(AQ690="2",BI690,0)</f>
      </c>
      <c r="AH690" s="116">
        <f>IF(AQ690="0",BJ690,0)</f>
      </c>
      <c r="AI690" s="131" t="s">
        <v>117</v>
      </c>
      <c r="AJ690" s="116">
        <f>IF(AN690=0,J690,0)</f>
      </c>
      <c r="AK690" s="116">
        <f>IF(AN690=12,J690,0)</f>
      </c>
      <c r="AL690" s="116">
        <f>IF(AN690=21,J690,0)</f>
      </c>
      <c r="AN690" s="116" t="n">
        <v>21</v>
      </c>
      <c r="AO690" s="116">
        <f>G690*0.306090134</f>
      </c>
      <c r="AP690" s="116">
        <f>G690*(1-0.306090134)</f>
      </c>
      <c r="AQ690" s="150" t="s">
        <v>104</v>
      </c>
      <c r="AV690" s="116">
        <f>AW690+AX690</f>
      </c>
      <c r="AW690" s="116">
        <f>F690*AO690</f>
      </c>
      <c r="AX690" s="116">
        <f>F690*AP690</f>
      </c>
      <c r="AY690" s="150" t="s">
        <v>1050</v>
      </c>
      <c r="AZ690" s="150" t="s">
        <v>997</v>
      </c>
      <c r="BA690" s="131" t="s">
        <v>977</v>
      </c>
      <c r="BC690" s="116">
        <f>AW690+AX690</f>
      </c>
      <c r="BD690" s="116">
        <f>G690/(100-BE690)*100</f>
      </c>
      <c r="BE690" s="116" t="n">
        <v>0</v>
      </c>
      <c r="BF690" s="116">
        <f>690</f>
      </c>
      <c r="BH690" s="116">
        <f>F690*AO690</f>
      </c>
      <c r="BI690" s="116">
        <f>F690*AP690</f>
      </c>
      <c r="BJ690" s="116">
        <f>F690*G690</f>
      </c>
      <c r="BK690" s="116"/>
      <c r="BL690" s="116"/>
      <c r="BW690" s="116" t="n">
        <v>21</v>
      </c>
      <c r="BX690" s="14" t="s">
        <v>1091</v>
      </c>
    </row>
    <row r="691" customHeight="true" ht="13.5">
      <c r="A691" s="151"/>
      <c r="C691" s="155" t="s">
        <v>1092</v>
      </c>
      <c r="D691" s="152"/>
      <c r="E691" s="152"/>
      <c r="F691" s="152"/>
      <c r="G691" s="152"/>
      <c r="H691" s="152"/>
      <c r="I691" s="152"/>
      <c r="J691" s="152"/>
      <c r="K691" s="156"/>
    </row>
    <row r="692">
      <c r="A692" s="151"/>
      <c r="C692" s="152" t="s">
        <v>1093</v>
      </c>
      <c r="D692" s="152" t="s">
        <v>4</v>
      </c>
      <c r="F692" s="153" t="n">
        <v>210</v>
      </c>
      <c r="K692" s="154"/>
    </row>
    <row r="693">
      <c r="A693" s="9" t="s">
        <v>1094</v>
      </c>
      <c r="B693" s="10" t="s">
        <v>1095</v>
      </c>
      <c r="C693" s="14" t="s">
        <v>1096</v>
      </c>
      <c r="D693" s="10"/>
      <c r="E693" s="10" t="s">
        <v>216</v>
      </c>
      <c r="F693" s="116" t="n">
        <v>105</v>
      </c>
      <c r="G693" s="116" t="n">
        <v>0</v>
      </c>
      <c r="H693" s="116">
        <f>F693*AO693</f>
      </c>
      <c r="I693" s="116">
        <f>F693*AP693</f>
      </c>
      <c r="J693" s="116">
        <f>F693*G693</f>
      </c>
      <c r="K693" s="149" t="s">
        <v>159</v>
      </c>
      <c r="Z693" s="116">
        <f>IF(AQ693="5",BJ693,0)</f>
      </c>
      <c r="AB693" s="116">
        <f>IF(AQ693="1",BH693,0)</f>
      </c>
      <c r="AC693" s="116">
        <f>IF(AQ693="1",BI693,0)</f>
      </c>
      <c r="AD693" s="116">
        <f>IF(AQ693="7",BH693,0)</f>
      </c>
      <c r="AE693" s="116">
        <f>IF(AQ693="7",BI693,0)</f>
      </c>
      <c r="AF693" s="116">
        <f>IF(AQ693="2",BH693,0)</f>
      </c>
      <c r="AG693" s="116">
        <f>IF(AQ693="2",BI693,0)</f>
      </c>
      <c r="AH693" s="116">
        <f>IF(AQ693="0",BJ693,0)</f>
      </c>
      <c r="AI693" s="131" t="s">
        <v>117</v>
      </c>
      <c r="AJ693" s="116">
        <f>IF(AN693=0,J693,0)</f>
      </c>
      <c r="AK693" s="116">
        <f>IF(AN693=12,J693,0)</f>
      </c>
      <c r="AL693" s="116">
        <f>IF(AN693=21,J693,0)</f>
      </c>
      <c r="AN693" s="116" t="n">
        <v>21</v>
      </c>
      <c r="AO693" s="116">
        <f>G693*0.621206349</f>
      </c>
      <c r="AP693" s="116">
        <f>G693*(1-0.621206349)</f>
      </c>
      <c r="AQ693" s="150" t="s">
        <v>104</v>
      </c>
      <c r="AV693" s="116">
        <f>AW693+AX693</f>
      </c>
      <c r="AW693" s="116">
        <f>F693*AO693</f>
      </c>
      <c r="AX693" s="116">
        <f>F693*AP693</f>
      </c>
      <c r="AY693" s="150" t="s">
        <v>1050</v>
      </c>
      <c r="AZ693" s="150" t="s">
        <v>997</v>
      </c>
      <c r="BA693" s="131" t="s">
        <v>977</v>
      </c>
      <c r="BC693" s="116">
        <f>AW693+AX693</f>
      </c>
      <c r="BD693" s="116">
        <f>G693/(100-BE693)*100</f>
      </c>
      <c r="BE693" s="116" t="n">
        <v>0</v>
      </c>
      <c r="BF693" s="116">
        <f>693</f>
      </c>
      <c r="BH693" s="116">
        <f>F693*AO693</f>
      </c>
      <c r="BI693" s="116">
        <f>F693*AP693</f>
      </c>
      <c r="BJ693" s="116">
        <f>F693*G693</f>
      </c>
      <c r="BK693" s="116"/>
      <c r="BL693" s="116"/>
      <c r="BW693" s="116" t="n">
        <v>21</v>
      </c>
      <c r="BX693" s="14" t="s">
        <v>1096</v>
      </c>
    </row>
    <row r="694" customHeight="true" ht="13.5">
      <c r="A694" s="151"/>
      <c r="C694" s="155" t="s">
        <v>1097</v>
      </c>
      <c r="D694" s="152"/>
      <c r="E694" s="152"/>
      <c r="F694" s="152"/>
      <c r="G694" s="152"/>
      <c r="H694" s="152"/>
      <c r="I694" s="152"/>
      <c r="J694" s="152"/>
      <c r="K694" s="156"/>
    </row>
    <row r="695">
      <c r="A695" s="151"/>
      <c r="C695" s="152" t="s">
        <v>722</v>
      </c>
      <c r="D695" s="152" t="s">
        <v>4</v>
      </c>
      <c r="F695" s="153" t="n">
        <v>105</v>
      </c>
      <c r="K695" s="154"/>
    </row>
    <row r="696">
      <c r="A696" s="9" t="s">
        <v>1098</v>
      </c>
      <c r="B696" s="10" t="s">
        <v>1099</v>
      </c>
      <c r="C696" s="14" t="s">
        <v>1100</v>
      </c>
      <c r="D696" s="10"/>
      <c r="E696" s="10" t="s">
        <v>216</v>
      </c>
      <c r="F696" s="116" t="n">
        <v>105</v>
      </c>
      <c r="G696" s="116" t="n">
        <v>0</v>
      </c>
      <c r="H696" s="116">
        <f>F696*AO696</f>
      </c>
      <c r="I696" s="116">
        <f>F696*AP696</f>
      </c>
      <c r="J696" s="116">
        <f>F696*G696</f>
      </c>
      <c r="K696" s="149" t="s">
        <v>159</v>
      </c>
      <c r="Z696" s="116">
        <f>IF(AQ696="5",BJ696,0)</f>
      </c>
      <c r="AB696" s="116">
        <f>IF(AQ696="1",BH696,0)</f>
      </c>
      <c r="AC696" s="116">
        <f>IF(AQ696="1",BI696,0)</f>
      </c>
      <c r="AD696" s="116">
        <f>IF(AQ696="7",BH696,0)</f>
      </c>
      <c r="AE696" s="116">
        <f>IF(AQ696="7",BI696,0)</f>
      </c>
      <c r="AF696" s="116">
        <f>IF(AQ696="2",BH696,0)</f>
      </c>
      <c r="AG696" s="116">
        <f>IF(AQ696="2",BI696,0)</f>
      </c>
      <c r="AH696" s="116">
        <f>IF(AQ696="0",BJ696,0)</f>
      </c>
      <c r="AI696" s="131" t="s">
        <v>117</v>
      </c>
      <c r="AJ696" s="116">
        <f>IF(AN696=0,J696,0)</f>
      </c>
      <c r="AK696" s="116">
        <f>IF(AN696=12,J696,0)</f>
      </c>
      <c r="AL696" s="116">
        <f>IF(AN696=21,J696,0)</f>
      </c>
      <c r="AN696" s="116" t="n">
        <v>21</v>
      </c>
      <c r="AO696" s="116">
        <f>G696*0</f>
      </c>
      <c r="AP696" s="116">
        <f>G696*(1-0)</f>
      </c>
      <c r="AQ696" s="150" t="s">
        <v>104</v>
      </c>
      <c r="AV696" s="116">
        <f>AW696+AX696</f>
      </c>
      <c r="AW696" s="116">
        <f>F696*AO696</f>
      </c>
      <c r="AX696" s="116">
        <f>F696*AP696</f>
      </c>
      <c r="AY696" s="150" t="s">
        <v>1050</v>
      </c>
      <c r="AZ696" s="150" t="s">
        <v>997</v>
      </c>
      <c r="BA696" s="131" t="s">
        <v>977</v>
      </c>
      <c r="BC696" s="116">
        <f>AW696+AX696</f>
      </c>
      <c r="BD696" s="116">
        <f>G696/(100-BE696)*100</f>
      </c>
      <c r="BE696" s="116" t="n">
        <v>0</v>
      </c>
      <c r="BF696" s="116">
        <f>696</f>
      </c>
      <c r="BH696" s="116">
        <f>F696*AO696</f>
      </c>
      <c r="BI696" s="116">
        <f>F696*AP696</f>
      </c>
      <c r="BJ696" s="116">
        <f>F696*G696</f>
      </c>
      <c r="BK696" s="116"/>
      <c r="BL696" s="116"/>
      <c r="BW696" s="116" t="n">
        <v>21</v>
      </c>
      <c r="BX696" s="14" t="s">
        <v>1100</v>
      </c>
    </row>
    <row r="697" customHeight="true" ht="13.5">
      <c r="A697" s="151"/>
      <c r="C697" s="155" t="s">
        <v>1101</v>
      </c>
      <c r="D697" s="152"/>
      <c r="E697" s="152"/>
      <c r="F697" s="152"/>
      <c r="G697" s="152"/>
      <c r="H697" s="152"/>
      <c r="I697" s="152"/>
      <c r="J697" s="152"/>
      <c r="K697" s="156"/>
    </row>
    <row r="698">
      <c r="A698" s="151"/>
      <c r="C698" s="152" t="s">
        <v>722</v>
      </c>
      <c r="D698" s="152" t="s">
        <v>4</v>
      </c>
      <c r="F698" s="153" t="n">
        <v>105</v>
      </c>
      <c r="K698" s="154"/>
    </row>
    <row r="699">
      <c r="A699" s="9" t="s">
        <v>1102</v>
      </c>
      <c r="B699" s="10" t="s">
        <v>1103</v>
      </c>
      <c r="C699" s="14" t="s">
        <v>1104</v>
      </c>
      <c r="D699" s="10"/>
      <c r="E699" s="10" t="s">
        <v>463</v>
      </c>
      <c r="F699" s="116" t="n">
        <v>1</v>
      </c>
      <c r="G699" s="116" t="n">
        <v>0</v>
      </c>
      <c r="H699" s="116">
        <f>F699*AO699</f>
      </c>
      <c r="I699" s="116">
        <f>F699*AP699</f>
      </c>
      <c r="J699" s="116">
        <f>F699*G699</f>
      </c>
      <c r="K699" s="149" t="s">
        <v>202</v>
      </c>
      <c r="Z699" s="116">
        <f>IF(AQ699="5",BJ699,0)</f>
      </c>
      <c r="AB699" s="116">
        <f>IF(AQ699="1",BH699,0)</f>
      </c>
      <c r="AC699" s="116">
        <f>IF(AQ699="1",BI699,0)</f>
      </c>
      <c r="AD699" s="116">
        <f>IF(AQ699="7",BH699,0)</f>
      </c>
      <c r="AE699" s="116">
        <f>IF(AQ699="7",BI699,0)</f>
      </c>
      <c r="AF699" s="116">
        <f>IF(AQ699="2",BH699,0)</f>
      </c>
      <c r="AG699" s="116">
        <f>IF(AQ699="2",BI699,0)</f>
      </c>
      <c r="AH699" s="116">
        <f>IF(AQ699="0",BJ699,0)</f>
      </c>
      <c r="AI699" s="131" t="s">
        <v>117</v>
      </c>
      <c r="AJ699" s="116">
        <f>IF(AN699=0,J699,0)</f>
      </c>
      <c r="AK699" s="116">
        <f>IF(AN699=12,J699,0)</f>
      </c>
      <c r="AL699" s="116">
        <f>IF(AN699=21,J699,0)</f>
      </c>
      <c r="AN699" s="116" t="n">
        <v>21</v>
      </c>
      <c r="AO699" s="116">
        <f>G699*0</f>
      </c>
      <c r="AP699" s="116">
        <f>G699*(1-0)</f>
      </c>
      <c r="AQ699" s="150" t="s">
        <v>104</v>
      </c>
      <c r="AV699" s="116">
        <f>AW699+AX699</f>
      </c>
      <c r="AW699" s="116">
        <f>F699*AO699</f>
      </c>
      <c r="AX699" s="116">
        <f>F699*AP699</f>
      </c>
      <c r="AY699" s="150" t="s">
        <v>1050</v>
      </c>
      <c r="AZ699" s="150" t="s">
        <v>997</v>
      </c>
      <c r="BA699" s="131" t="s">
        <v>977</v>
      </c>
      <c r="BC699" s="116">
        <f>AW699+AX699</f>
      </c>
      <c r="BD699" s="116">
        <f>G699/(100-BE699)*100</f>
      </c>
      <c r="BE699" s="116" t="n">
        <v>0</v>
      </c>
      <c r="BF699" s="116">
        <f>699</f>
      </c>
      <c r="BH699" s="116">
        <f>F699*AO699</f>
      </c>
      <c r="BI699" s="116">
        <f>F699*AP699</f>
      </c>
      <c r="BJ699" s="116">
        <f>F699*G699</f>
      </c>
      <c r="BK699" s="116"/>
      <c r="BL699" s="116"/>
      <c r="BW699" s="116" t="n">
        <v>21</v>
      </c>
      <c r="BX699" s="14" t="s">
        <v>1104</v>
      </c>
    </row>
    <row r="700">
      <c r="A700" s="151"/>
      <c r="C700" s="152" t="s">
        <v>88</v>
      </c>
      <c r="D700" s="152" t="s">
        <v>4</v>
      </c>
      <c r="F700" s="153" t="n">
        <v>1</v>
      </c>
      <c r="K700" s="154"/>
    </row>
    <row r="701">
      <c r="A701" s="144" t="s">
        <v>4</v>
      </c>
      <c r="B701" s="145" t="s">
        <v>661</v>
      </c>
      <c r="C701" s="146" t="s">
        <v>36</v>
      </c>
      <c r="D701" s="145"/>
      <c r="E701" s="147" t="s">
        <v>79</v>
      </c>
      <c r="F701" s="147" t="s">
        <v>79</v>
      </c>
      <c r="G701" s="147" t="s">
        <v>79</v>
      </c>
      <c r="H701" s="123">
        <f>SUM(H702:H704)</f>
      </c>
      <c r="I701" s="123">
        <f>SUM(I702:I704)</f>
      </c>
      <c r="J701" s="123">
        <f>SUM(J702:J704)</f>
      </c>
      <c r="K701" s="148" t="s">
        <v>4</v>
      </c>
      <c r="AI701" s="131" t="s">
        <v>117</v>
      </c>
      <c r="AS701" s="123">
        <f>SUM(AJ702:AJ704)</f>
      </c>
      <c r="AT701" s="123">
        <f>SUM(AK702:AK704)</f>
      </c>
      <c r="AU701" s="123">
        <f>SUM(AL702:AL704)</f>
      </c>
    </row>
    <row r="702">
      <c r="A702" s="158" t="s">
        <v>1105</v>
      </c>
      <c r="B702" s="159" t="s">
        <v>1106</v>
      </c>
      <c r="C702" s="160" t="s">
        <v>1107</v>
      </c>
      <c r="D702" s="159"/>
      <c r="E702" s="159" t="s">
        <v>463</v>
      </c>
      <c r="F702" s="161" t="n">
        <v>15</v>
      </c>
      <c r="G702" s="161" t="n">
        <v>0</v>
      </c>
      <c r="H702" s="161">
        <f>F702*AO702</f>
      </c>
      <c r="I702" s="161">
        <f>F702*AP702</f>
      </c>
      <c r="J702" s="161">
        <f>F702*G702</f>
      </c>
      <c r="K702" s="162" t="s">
        <v>464</v>
      </c>
      <c r="Z702" s="116">
        <f>IF(AQ702="5",BJ702,0)</f>
      </c>
      <c r="AB702" s="116">
        <f>IF(AQ702="1",BH702,0)</f>
      </c>
      <c r="AC702" s="116">
        <f>IF(AQ702="1",BI702,0)</f>
      </c>
      <c r="AD702" s="116">
        <f>IF(AQ702="7",BH702,0)</f>
      </c>
      <c r="AE702" s="116">
        <f>IF(AQ702="7",BI702,0)</f>
      </c>
      <c r="AF702" s="116">
        <f>IF(AQ702="2",BH702,0)</f>
      </c>
      <c r="AG702" s="116">
        <f>IF(AQ702="2",BI702,0)</f>
      </c>
      <c r="AH702" s="116">
        <f>IF(AQ702="0",BJ702,0)</f>
      </c>
      <c r="AI702" s="131" t="s">
        <v>117</v>
      </c>
      <c r="AJ702" s="161">
        <f>IF(AN702=0,J702,0)</f>
      </c>
      <c r="AK702" s="161">
        <f>IF(AN702=12,J702,0)</f>
      </c>
      <c r="AL702" s="161">
        <f>IF(AN702=21,J702,0)</f>
      </c>
      <c r="AN702" s="116" t="n">
        <v>21</v>
      </c>
      <c r="AO702" s="116">
        <f>G702*1</f>
      </c>
      <c r="AP702" s="116">
        <f>G702*(1-1)</f>
      </c>
      <c r="AQ702" s="163" t="s">
        <v>664</v>
      </c>
      <c r="AV702" s="116">
        <f>AW702+AX702</f>
      </c>
      <c r="AW702" s="116">
        <f>F702*AO702</f>
      </c>
      <c r="AX702" s="116">
        <f>F702*AP702</f>
      </c>
      <c r="AY702" s="150" t="s">
        <v>665</v>
      </c>
      <c r="AZ702" s="150" t="s">
        <v>1108</v>
      </c>
      <c r="BA702" s="131" t="s">
        <v>977</v>
      </c>
      <c r="BC702" s="116">
        <f>AW702+AX702</f>
      </c>
      <c r="BD702" s="116">
        <f>G702/(100-BE702)*100</f>
      </c>
      <c r="BE702" s="116" t="n">
        <v>0</v>
      </c>
      <c r="BF702" s="116">
        <f>702</f>
      </c>
      <c r="BH702" s="161">
        <f>F702*AO702</f>
      </c>
      <c r="BI702" s="161">
        <f>F702*AP702</f>
      </c>
      <c r="BJ702" s="161">
        <f>F702*G702</f>
      </c>
      <c r="BK702" s="161"/>
      <c r="BL702" s="116"/>
      <c r="BW702" s="116" t="n">
        <v>21</v>
      </c>
      <c r="BX702" s="160" t="s">
        <v>1107</v>
      </c>
    </row>
    <row r="703">
      <c r="A703" s="151"/>
      <c r="C703" s="152" t="s">
        <v>256</v>
      </c>
      <c r="D703" s="152" t="s">
        <v>4</v>
      </c>
      <c r="F703" s="153" t="n">
        <v>15</v>
      </c>
      <c r="K703" s="154"/>
    </row>
    <row r="704">
      <c r="A704" s="158" t="s">
        <v>1109</v>
      </c>
      <c r="B704" s="159" t="s">
        <v>1110</v>
      </c>
      <c r="C704" s="160" t="s">
        <v>1111</v>
      </c>
      <c r="D704" s="159"/>
      <c r="E704" s="159" t="s">
        <v>1112</v>
      </c>
      <c r="F704" s="161" t="n">
        <v>8</v>
      </c>
      <c r="G704" s="161" t="n">
        <v>0</v>
      </c>
      <c r="H704" s="161">
        <f>F704*AO704</f>
      </c>
      <c r="I704" s="161">
        <f>F704*AP704</f>
      </c>
      <c r="J704" s="161">
        <f>F704*G704</f>
      </c>
      <c r="K704" s="162" t="s">
        <v>464</v>
      </c>
      <c r="Z704" s="116">
        <f>IF(AQ704="5",BJ704,0)</f>
      </c>
      <c r="AB704" s="116">
        <f>IF(AQ704="1",BH704,0)</f>
      </c>
      <c r="AC704" s="116">
        <f>IF(AQ704="1",BI704,0)</f>
      </c>
      <c r="AD704" s="116">
        <f>IF(AQ704="7",BH704,0)</f>
      </c>
      <c r="AE704" s="116">
        <f>IF(AQ704="7",BI704,0)</f>
      </c>
      <c r="AF704" s="116">
        <f>IF(AQ704="2",BH704,0)</f>
      </c>
      <c r="AG704" s="116">
        <f>IF(AQ704="2",BI704,0)</f>
      </c>
      <c r="AH704" s="116">
        <f>IF(AQ704="0",BJ704,0)</f>
      </c>
      <c r="AI704" s="131" t="s">
        <v>117</v>
      </c>
      <c r="AJ704" s="161">
        <f>IF(AN704=0,J704,0)</f>
      </c>
      <c r="AK704" s="161">
        <f>IF(AN704=12,J704,0)</f>
      </c>
      <c r="AL704" s="161">
        <f>IF(AN704=21,J704,0)</f>
      </c>
      <c r="AN704" s="116" t="n">
        <v>21</v>
      </c>
      <c r="AO704" s="116">
        <f>G704*1</f>
      </c>
      <c r="AP704" s="116">
        <f>G704*(1-1)</f>
      </c>
      <c r="AQ704" s="163" t="s">
        <v>664</v>
      </c>
      <c r="AV704" s="116">
        <f>AW704+AX704</f>
      </c>
      <c r="AW704" s="116">
        <f>F704*AO704</f>
      </c>
      <c r="AX704" s="116">
        <f>F704*AP704</f>
      </c>
      <c r="AY704" s="150" t="s">
        <v>665</v>
      </c>
      <c r="AZ704" s="150" t="s">
        <v>1108</v>
      </c>
      <c r="BA704" s="131" t="s">
        <v>977</v>
      </c>
      <c r="BC704" s="116">
        <f>AW704+AX704</f>
      </c>
      <c r="BD704" s="116">
        <f>G704/(100-BE704)*100</f>
      </c>
      <c r="BE704" s="116" t="n">
        <v>0</v>
      </c>
      <c r="BF704" s="116">
        <f>704</f>
      </c>
      <c r="BH704" s="161">
        <f>F704*AO704</f>
      </c>
      <c r="BI704" s="161">
        <f>F704*AP704</f>
      </c>
      <c r="BJ704" s="161">
        <f>F704*G704</f>
      </c>
      <c r="BK704" s="161"/>
      <c r="BL704" s="116"/>
      <c r="BW704" s="116" t="n">
        <v>21</v>
      </c>
      <c r="BX704" s="160" t="s">
        <v>1111</v>
      </c>
    </row>
    <row r="705">
      <c r="A705" s="151"/>
      <c r="C705" s="152" t="s">
        <v>110</v>
      </c>
      <c r="D705" s="152" t="s">
        <v>4</v>
      </c>
      <c r="F705" s="153" t="n">
        <v>8</v>
      </c>
      <c r="K705" s="154"/>
    </row>
    <row r="706">
      <c r="A706" s="144" t="s">
        <v>4</v>
      </c>
      <c r="B706" s="145" t="s">
        <v>267</v>
      </c>
      <c r="C706" s="146" t="s">
        <v>57</v>
      </c>
      <c r="D706" s="145"/>
      <c r="E706" s="147" t="s">
        <v>79</v>
      </c>
      <c r="F706" s="147" t="s">
        <v>79</v>
      </c>
      <c r="G706" s="147" t="s">
        <v>79</v>
      </c>
      <c r="H706" s="123">
        <f>H707</f>
      </c>
      <c r="I706" s="123">
        <f>I707</f>
      </c>
      <c r="J706" s="123">
        <f>J707</f>
      </c>
      <c r="K706" s="148" t="s">
        <v>4</v>
      </c>
      <c r="AI706" s="131" t="s">
        <v>117</v>
      </c>
    </row>
    <row r="707">
      <c r="A707" s="144" t="s">
        <v>4</v>
      </c>
      <c r="B707" s="145" t="s">
        <v>268</v>
      </c>
      <c r="C707" s="146" t="s">
        <v>68</v>
      </c>
      <c r="D707" s="145"/>
      <c r="E707" s="147" t="s">
        <v>79</v>
      </c>
      <c r="F707" s="147" t="s">
        <v>79</v>
      </c>
      <c r="G707" s="147" t="s">
        <v>79</v>
      </c>
      <c r="H707" s="123">
        <f>SUM(H708:H711)</f>
      </c>
      <c r="I707" s="123">
        <f>SUM(I708:I711)</f>
      </c>
      <c r="J707" s="123">
        <f>SUM(J708:J711)</f>
      </c>
      <c r="K707" s="148" t="s">
        <v>4</v>
      </c>
      <c r="AI707" s="131" t="s">
        <v>117</v>
      </c>
      <c r="AS707" s="123">
        <f>SUM(AJ708:AJ711)</f>
      </c>
      <c r="AT707" s="123">
        <f>SUM(AK708:AK711)</f>
      </c>
      <c r="AU707" s="123">
        <f>SUM(AL708:AL711)</f>
      </c>
    </row>
    <row r="708">
      <c r="A708" s="9" t="s">
        <v>1113</v>
      </c>
      <c r="B708" s="10" t="s">
        <v>738</v>
      </c>
      <c r="C708" s="14" t="s">
        <v>271</v>
      </c>
      <c r="D708" s="10"/>
      <c r="E708" s="10" t="s">
        <v>272</v>
      </c>
      <c r="F708" s="116" t="n">
        <v>1</v>
      </c>
      <c r="G708" s="116" t="n">
        <v>0</v>
      </c>
      <c r="H708" s="116">
        <f>F708*AO708</f>
      </c>
      <c r="I708" s="116">
        <f>F708*AP708</f>
      </c>
      <c r="J708" s="116">
        <f>F708*G708</f>
      </c>
      <c r="K708" s="149" t="s">
        <v>159</v>
      </c>
      <c r="Z708" s="116">
        <f>IF(AQ708="5",BJ708,0)</f>
      </c>
      <c r="AB708" s="116">
        <f>IF(AQ708="1",BH708,0)</f>
      </c>
      <c r="AC708" s="116">
        <f>IF(AQ708="1",BI708,0)</f>
      </c>
      <c r="AD708" s="116">
        <f>IF(AQ708="7",BH708,0)</f>
      </c>
      <c r="AE708" s="116">
        <f>IF(AQ708="7",BI708,0)</f>
      </c>
      <c r="AF708" s="116">
        <f>IF(AQ708="2",BH708,0)</f>
      </c>
      <c r="AG708" s="116">
        <f>IF(AQ708="2",BI708,0)</f>
      </c>
      <c r="AH708" s="116">
        <f>IF(AQ708="0",BJ708,0)</f>
      </c>
      <c r="AI708" s="131" t="s">
        <v>117</v>
      </c>
      <c r="AJ708" s="116">
        <f>IF(AN708=0,J708,0)</f>
      </c>
      <c r="AK708" s="116">
        <f>IF(AN708=12,J708,0)</f>
      </c>
      <c r="AL708" s="116">
        <f>IF(AN708=21,J708,0)</f>
      </c>
      <c r="AN708" s="116" t="n">
        <v>21</v>
      </c>
      <c r="AO708" s="116">
        <f>G708*0</f>
      </c>
      <c r="AP708" s="116">
        <f>G708*(1-0)</f>
      </c>
      <c r="AQ708" s="150" t="s">
        <v>273</v>
      </c>
      <c r="AV708" s="116">
        <f>AW708+AX708</f>
      </c>
      <c r="AW708" s="116">
        <f>F708*AO708</f>
      </c>
      <c r="AX708" s="116">
        <f>F708*AP708</f>
      </c>
      <c r="AY708" s="150" t="s">
        <v>274</v>
      </c>
      <c r="AZ708" s="150" t="s">
        <v>1114</v>
      </c>
      <c r="BA708" s="131" t="s">
        <v>977</v>
      </c>
      <c r="BC708" s="116">
        <f>AW708+AX708</f>
      </c>
      <c r="BD708" s="116">
        <f>G708/(100-BE708)*100</f>
      </c>
      <c r="BE708" s="116" t="n">
        <v>0</v>
      </c>
      <c r="BF708" s="116">
        <f>708</f>
      </c>
      <c r="BH708" s="116">
        <f>F708*AO708</f>
      </c>
      <c r="BI708" s="116">
        <f>F708*AP708</f>
      </c>
      <c r="BJ708" s="116">
        <f>F708*G708</f>
      </c>
      <c r="BK708" s="116"/>
      <c r="BL708" s="116"/>
      <c r="BM708" s="116">
        <f>F708*G708</f>
      </c>
      <c r="BW708" s="116" t="n">
        <v>21</v>
      </c>
      <c r="BX708" s="14" t="s">
        <v>271</v>
      </c>
    </row>
    <row r="709" customHeight="true" ht="13.5">
      <c r="A709" s="151"/>
      <c r="C709" s="155" t="s">
        <v>740</v>
      </c>
      <c r="D709" s="152"/>
      <c r="E709" s="152"/>
      <c r="F709" s="152"/>
      <c r="G709" s="152"/>
      <c r="H709" s="152"/>
      <c r="I709" s="152"/>
      <c r="J709" s="152"/>
      <c r="K709" s="156"/>
    </row>
    <row r="710">
      <c r="A710" s="151"/>
      <c r="C710" s="152" t="s">
        <v>88</v>
      </c>
      <c r="D710" s="152" t="s">
        <v>4</v>
      </c>
      <c r="F710" s="153" t="n">
        <v>1</v>
      </c>
      <c r="K710" s="154"/>
    </row>
    <row r="711">
      <c r="A711" s="9" t="s">
        <v>1115</v>
      </c>
      <c r="B711" s="10" t="s">
        <v>277</v>
      </c>
      <c r="C711" s="14" t="s">
        <v>278</v>
      </c>
      <c r="D711" s="10"/>
      <c r="E711" s="10" t="s">
        <v>272</v>
      </c>
      <c r="F711" s="116" t="n">
        <v>1</v>
      </c>
      <c r="G711" s="116" t="n">
        <v>0</v>
      </c>
      <c r="H711" s="116">
        <f>F711*AO711</f>
      </c>
      <c r="I711" s="116">
        <f>F711*AP711</f>
      </c>
      <c r="J711" s="116">
        <f>F711*G711</f>
      </c>
      <c r="K711" s="149" t="s">
        <v>159</v>
      </c>
      <c r="Z711" s="116">
        <f>IF(AQ711="5",BJ711,0)</f>
      </c>
      <c r="AB711" s="116">
        <f>IF(AQ711="1",BH711,0)</f>
      </c>
      <c r="AC711" s="116">
        <f>IF(AQ711="1",BI711,0)</f>
      </c>
      <c r="AD711" s="116">
        <f>IF(AQ711="7",BH711,0)</f>
      </c>
      <c r="AE711" s="116">
        <f>IF(AQ711="7",BI711,0)</f>
      </c>
      <c r="AF711" s="116">
        <f>IF(AQ711="2",BH711,0)</f>
      </c>
      <c r="AG711" s="116">
        <f>IF(AQ711="2",BI711,0)</f>
      </c>
      <c r="AH711" s="116">
        <f>IF(AQ711="0",BJ711,0)</f>
      </c>
      <c r="AI711" s="131" t="s">
        <v>117</v>
      </c>
      <c r="AJ711" s="116">
        <f>IF(AN711=0,J711,0)</f>
      </c>
      <c r="AK711" s="116">
        <f>IF(AN711=12,J711,0)</f>
      </c>
      <c r="AL711" s="116">
        <f>IF(AN711=21,J711,0)</f>
      </c>
      <c r="AN711" s="116" t="n">
        <v>21</v>
      </c>
      <c r="AO711" s="116">
        <f>G711*0</f>
      </c>
      <c r="AP711" s="116">
        <f>G711*(1-0)</f>
      </c>
      <c r="AQ711" s="150" t="s">
        <v>273</v>
      </c>
      <c r="AV711" s="116">
        <f>AW711+AX711</f>
      </c>
      <c r="AW711" s="116">
        <f>F711*AO711</f>
      </c>
      <c r="AX711" s="116">
        <f>F711*AP711</f>
      </c>
      <c r="AY711" s="150" t="s">
        <v>274</v>
      </c>
      <c r="AZ711" s="150" t="s">
        <v>1114</v>
      </c>
      <c r="BA711" s="131" t="s">
        <v>977</v>
      </c>
      <c r="BC711" s="116">
        <f>AW711+AX711</f>
      </c>
      <c r="BD711" s="116">
        <f>G711/(100-BE711)*100</f>
      </c>
      <c r="BE711" s="116" t="n">
        <v>0</v>
      </c>
      <c r="BF711" s="116">
        <f>711</f>
      </c>
      <c r="BH711" s="116">
        <f>F711*AO711</f>
      </c>
      <c r="BI711" s="116">
        <f>F711*AP711</f>
      </c>
      <c r="BJ711" s="116">
        <f>F711*G711</f>
      </c>
      <c r="BK711" s="116"/>
      <c r="BL711" s="116"/>
      <c r="BM711" s="116">
        <f>F711*G711</f>
      </c>
      <c r="BW711" s="116" t="n">
        <v>21</v>
      </c>
      <c r="BX711" s="14" t="s">
        <v>278</v>
      </c>
    </row>
    <row r="712">
      <c r="A712" s="151"/>
      <c r="C712" s="152" t="s">
        <v>88</v>
      </c>
      <c r="D712" s="152" t="s">
        <v>4</v>
      </c>
      <c r="F712" s="153" t="n">
        <v>1</v>
      </c>
      <c r="K712" s="154"/>
    </row>
    <row r="713" customHeight="true" ht="27">
      <c r="A713" s="151"/>
      <c r="B713" s="157" t="s">
        <v>56</v>
      </c>
      <c r="C713" s="155" t="s">
        <v>1116</v>
      </c>
      <c r="D713" s="152"/>
      <c r="E713" s="152"/>
      <c r="F713" s="152"/>
      <c r="G713" s="152"/>
      <c r="H713" s="152"/>
      <c r="I713" s="152"/>
      <c r="J713" s="152"/>
      <c r="K713" s="156"/>
    </row>
    <row r="714">
      <c r="A714" s="144" t="s">
        <v>4</v>
      </c>
      <c r="B714" s="145" t="s">
        <v>4</v>
      </c>
      <c r="C714" s="146" t="s">
        <v>118</v>
      </c>
      <c r="D714" s="145"/>
      <c r="E714" s="147" t="s">
        <v>79</v>
      </c>
      <c r="F714" s="147" t="s">
        <v>79</v>
      </c>
      <c r="G714" s="147" t="s">
        <v>79</v>
      </c>
      <c r="H714" s="123">
        <f>H716+H720</f>
      </c>
      <c r="I714" s="123">
        <f>I716+I720</f>
      </c>
      <c r="J714" s="123">
        <f>J716+J720</f>
      </c>
      <c r="K714" s="148" t="s">
        <v>4</v>
      </c>
    </row>
    <row r="715">
      <c r="A715" s="144" t="s">
        <v>4</v>
      </c>
      <c r="B715" s="145" t="s">
        <v>267</v>
      </c>
      <c r="C715" s="146" t="s">
        <v>57</v>
      </c>
      <c r="D715" s="145"/>
      <c r="E715" s="147" t="s">
        <v>79</v>
      </c>
      <c r="F715" s="147" t="s">
        <v>79</v>
      </c>
      <c r="G715" s="147" t="s">
        <v>79</v>
      </c>
      <c r="H715" s="123">
        <f>H716+H720</f>
      </c>
      <c r="I715" s="123">
        <f>I716+I720</f>
      </c>
      <c r="J715" s="123">
        <f>J716+J720</f>
      </c>
      <c r="K715" s="148" t="s">
        <v>4</v>
      </c>
      <c r="AI715" s="131" t="s">
        <v>119</v>
      </c>
    </row>
    <row r="716">
      <c r="A716" s="144" t="s">
        <v>4</v>
      </c>
      <c r="B716" s="145" t="s">
        <v>1117</v>
      </c>
      <c r="C716" s="146" t="s">
        <v>32</v>
      </c>
      <c r="D716" s="145"/>
      <c r="E716" s="147" t="s">
        <v>79</v>
      </c>
      <c r="F716" s="147" t="s">
        <v>79</v>
      </c>
      <c r="G716" s="147" t="s">
        <v>79</v>
      </c>
      <c r="H716" s="123">
        <f>SUM(H717:H717)</f>
      </c>
      <c r="I716" s="123">
        <f>SUM(I717:I717)</f>
      </c>
      <c r="J716" s="123">
        <f>SUM(J717:J717)</f>
      </c>
      <c r="K716" s="148" t="s">
        <v>4</v>
      </c>
      <c r="AI716" s="131" t="s">
        <v>119</v>
      </c>
      <c r="AS716" s="123">
        <f>SUM(AJ717:AJ717)</f>
      </c>
      <c r="AT716" s="123">
        <f>SUM(AK717:AK717)</f>
      </c>
      <c r="AU716" s="123">
        <f>SUM(AL717:AL717)</f>
      </c>
    </row>
    <row r="717">
      <c r="A717" s="9" t="s">
        <v>1118</v>
      </c>
      <c r="B717" s="10" t="s">
        <v>1119</v>
      </c>
      <c r="C717" s="14" t="s">
        <v>1120</v>
      </c>
      <c r="D717" s="10"/>
      <c r="E717" s="10" t="s">
        <v>272</v>
      </c>
      <c r="F717" s="116" t="n">
        <v>1</v>
      </c>
      <c r="G717" s="116" t="n">
        <v>0</v>
      </c>
      <c r="H717" s="116">
        <f>F717*AO717</f>
      </c>
      <c r="I717" s="116">
        <f>F717*AP717</f>
      </c>
      <c r="J717" s="116">
        <f>F717*G717</f>
      </c>
      <c r="K717" s="149" t="s">
        <v>159</v>
      </c>
      <c r="Z717" s="116">
        <f>IF(AQ717="5",BJ717,0)</f>
      </c>
      <c r="AB717" s="116">
        <f>IF(AQ717="1",BH717,0)</f>
      </c>
      <c r="AC717" s="116">
        <f>IF(AQ717="1",BI717,0)</f>
      </c>
      <c r="AD717" s="116">
        <f>IF(AQ717="7",BH717,0)</f>
      </c>
      <c r="AE717" s="116">
        <f>IF(AQ717="7",BI717,0)</f>
      </c>
      <c r="AF717" s="116">
        <f>IF(AQ717="2",BH717,0)</f>
      </c>
      <c r="AG717" s="116">
        <f>IF(AQ717="2",BI717,0)</f>
      </c>
      <c r="AH717" s="116">
        <f>IF(AQ717="0",BJ717,0)</f>
      </c>
      <c r="AI717" s="131" t="s">
        <v>119</v>
      </c>
      <c r="AJ717" s="116">
        <f>IF(AN717=0,J717,0)</f>
      </c>
      <c r="AK717" s="116">
        <f>IF(AN717=12,J717,0)</f>
      </c>
      <c r="AL717" s="116">
        <f>IF(AN717=21,J717,0)</f>
      </c>
      <c r="AN717" s="116" t="n">
        <v>21</v>
      </c>
      <c r="AO717" s="116">
        <f>G717*0</f>
      </c>
      <c r="AP717" s="116">
        <f>G717*(1-0)</f>
      </c>
      <c r="AQ717" s="150" t="s">
        <v>273</v>
      </c>
      <c r="AV717" s="116">
        <f>AW717+AX717</f>
      </c>
      <c r="AW717" s="116">
        <f>F717*AO717</f>
      </c>
      <c r="AX717" s="116">
        <f>F717*AP717</f>
      </c>
      <c r="AY717" s="150" t="s">
        <v>1121</v>
      </c>
      <c r="AZ717" s="150" t="s">
        <v>1122</v>
      </c>
      <c r="BA717" s="131" t="s">
        <v>1123</v>
      </c>
      <c r="BC717" s="116">
        <f>AW717+AX717</f>
      </c>
      <c r="BD717" s="116">
        <f>G717/(100-BE717)*100</f>
      </c>
      <c r="BE717" s="116" t="n">
        <v>0</v>
      </c>
      <c r="BF717" s="116">
        <f>717</f>
      </c>
      <c r="BH717" s="116">
        <f>F717*AO717</f>
      </c>
      <c r="BI717" s="116">
        <f>F717*AP717</f>
      </c>
      <c r="BJ717" s="116">
        <f>F717*G717</f>
      </c>
      <c r="BK717" s="116"/>
      <c r="BL717" s="116"/>
      <c r="BS717" s="116">
        <f>F717*G717</f>
      </c>
      <c r="BW717" s="116" t="n">
        <v>21</v>
      </c>
      <c r="BX717" s="14" t="s">
        <v>1120</v>
      </c>
    </row>
    <row r="718">
      <c r="A718" s="151"/>
      <c r="C718" s="152" t="s">
        <v>88</v>
      </c>
      <c r="D718" s="152" t="s">
        <v>4</v>
      </c>
      <c r="F718" s="153" t="n">
        <v>1</v>
      </c>
      <c r="K718" s="154"/>
    </row>
    <row r="719" customHeight="true" ht="13.5">
      <c r="A719" s="151"/>
      <c r="B719" s="157" t="s">
        <v>56</v>
      </c>
      <c r="C719" s="155" t="s">
        <v>1124</v>
      </c>
      <c r="D719" s="152"/>
      <c r="E719" s="152"/>
      <c r="F719" s="152"/>
      <c r="G719" s="152"/>
      <c r="H719" s="152"/>
      <c r="I719" s="152"/>
      <c r="J719" s="152"/>
      <c r="K719" s="156"/>
    </row>
    <row r="720">
      <c r="A720" s="144" t="s">
        <v>4</v>
      </c>
      <c r="B720" s="145" t="s">
        <v>1125</v>
      </c>
      <c r="C720" s="146" t="s">
        <v>73</v>
      </c>
      <c r="D720" s="145"/>
      <c r="E720" s="147" t="s">
        <v>79</v>
      </c>
      <c r="F720" s="147" t="s">
        <v>79</v>
      </c>
      <c r="G720" s="147" t="s">
        <v>79</v>
      </c>
      <c r="H720" s="123">
        <f>SUM(H721:H721)</f>
      </c>
      <c r="I720" s="123">
        <f>SUM(I721:I721)</f>
      </c>
      <c r="J720" s="123">
        <f>SUM(J721:J721)</f>
      </c>
      <c r="K720" s="148" t="s">
        <v>4</v>
      </c>
      <c r="AI720" s="131" t="s">
        <v>119</v>
      </c>
      <c r="AS720" s="123">
        <f>SUM(AJ721:AJ721)</f>
      </c>
      <c r="AT720" s="123">
        <f>SUM(AK721:AK721)</f>
      </c>
      <c r="AU720" s="123">
        <f>SUM(AL721:AL721)</f>
      </c>
    </row>
    <row r="721">
      <c r="A721" s="9" t="s">
        <v>1126</v>
      </c>
      <c r="B721" s="10" t="s">
        <v>1127</v>
      </c>
      <c r="C721" s="14" t="s">
        <v>73</v>
      </c>
      <c r="D721" s="10"/>
      <c r="E721" s="10" t="s">
        <v>272</v>
      </c>
      <c r="F721" s="116" t="n">
        <v>1</v>
      </c>
      <c r="G721" s="116" t="n">
        <v>0</v>
      </c>
      <c r="H721" s="116">
        <f>F721*AO721</f>
      </c>
      <c r="I721" s="116">
        <f>F721*AP721</f>
      </c>
      <c r="J721" s="116">
        <f>F721*G721</f>
      </c>
      <c r="K721" s="149" t="s">
        <v>159</v>
      </c>
      <c r="Z721" s="116">
        <f>IF(AQ721="5",BJ721,0)</f>
      </c>
      <c r="AB721" s="116">
        <f>IF(AQ721="1",BH721,0)</f>
      </c>
      <c r="AC721" s="116">
        <f>IF(AQ721="1",BI721,0)</f>
      </c>
      <c r="AD721" s="116">
        <f>IF(AQ721="7",BH721,0)</f>
      </c>
      <c r="AE721" s="116">
        <f>IF(AQ721="7",BI721,0)</f>
      </c>
      <c r="AF721" s="116">
        <f>IF(AQ721="2",BH721,0)</f>
      </c>
      <c r="AG721" s="116">
        <f>IF(AQ721="2",BI721,0)</f>
      </c>
      <c r="AH721" s="116">
        <f>IF(AQ721="0",BJ721,0)</f>
      </c>
      <c r="AI721" s="131" t="s">
        <v>119</v>
      </c>
      <c r="AJ721" s="116">
        <f>IF(AN721=0,J721,0)</f>
      </c>
      <c r="AK721" s="116">
        <f>IF(AN721=12,J721,0)</f>
      </c>
      <c r="AL721" s="116">
        <f>IF(AN721=21,J721,0)</f>
      </c>
      <c r="AN721" s="116" t="n">
        <v>21</v>
      </c>
      <c r="AO721" s="116">
        <f>G721*0</f>
      </c>
      <c r="AP721" s="116">
        <f>G721*(1-0)</f>
      </c>
      <c r="AQ721" s="150" t="s">
        <v>273</v>
      </c>
      <c r="AV721" s="116">
        <f>AW721+AX721</f>
      </c>
      <c r="AW721" s="116">
        <f>F721*AO721</f>
      </c>
      <c r="AX721" s="116">
        <f>F721*AP721</f>
      </c>
      <c r="AY721" s="150" t="s">
        <v>1128</v>
      </c>
      <c r="AZ721" s="150" t="s">
        <v>1122</v>
      </c>
      <c r="BA721" s="131" t="s">
        <v>1123</v>
      </c>
      <c r="BC721" s="116">
        <f>AW721+AX721</f>
      </c>
      <c r="BD721" s="116">
        <f>G721/(100-BE721)*100</f>
      </c>
      <c r="BE721" s="116" t="n">
        <v>0</v>
      </c>
      <c r="BF721" s="116">
        <f>721</f>
      </c>
      <c r="BH721" s="116">
        <f>F721*AO721</f>
      </c>
      <c r="BI721" s="116">
        <f>F721*AP721</f>
      </c>
      <c r="BJ721" s="116">
        <f>F721*G721</f>
      </c>
      <c r="BK721" s="116"/>
      <c r="BL721" s="116"/>
      <c r="BU721" s="116">
        <f>F721*G721</f>
      </c>
      <c r="BW721" s="116" t="n">
        <v>21</v>
      </c>
      <c r="BX721" s="14" t="s">
        <v>73</v>
      </c>
    </row>
    <row r="722">
      <c r="A722" s="151"/>
      <c r="C722" s="152" t="s">
        <v>88</v>
      </c>
      <c r="D722" s="152" t="s">
        <v>4</v>
      </c>
      <c r="F722" s="153" t="n">
        <v>1</v>
      </c>
      <c r="K722" s="154"/>
    </row>
    <row r="723" customHeight="true" ht="40.5">
      <c r="A723" s="165"/>
      <c r="B723" s="166" t="s">
        <v>56</v>
      </c>
      <c r="C723" s="167" t="s">
        <v>1129</v>
      </c>
      <c r="D723" s="168"/>
      <c r="E723" s="168"/>
      <c r="F723" s="168"/>
      <c r="G723" s="168"/>
      <c r="H723" s="168"/>
      <c r="I723" s="168"/>
      <c r="J723" s="168"/>
      <c r="K723" s="169"/>
    </row>
    <row r="724">
      <c r="H724" s="120" t="s">
        <v>120</v>
      </c>
      <c r="I724" s="120"/>
      <c r="J724" s="121">
        <f>ROUND(J13+J19+J25+J30+J34+J42+J58+J65+J72+J79+J84+J93+J97+J115+J151+J162+J180+J183+J186+J192+J196+J201+J213+J231+J234+J248+J264+J306+J310+J314+J317+J321+J382+J390+J394+J412+J435+J443+J459+J462+J467+J479+J484+J495+J499+J508+J530+J536+J540+J545+J549+J554+J604+J612+J619+J623+J626+J630+J637+J659+J701+J707+J716+J720,1)</f>
      </c>
    </row>
    <row r="725">
      <c r="A725" s="122" t="s">
        <v>56</v>
      </c>
    </row>
    <row r="726" customHeight="true" ht="12.75">
      <c r="A726" s="14" t="s">
        <v>4</v>
      </c>
      <c r="B726" s="10"/>
      <c r="C726" s="10"/>
      <c r="D726" s="10"/>
      <c r="E726" s="10"/>
      <c r="F726" s="10"/>
      <c r="G726" s="10"/>
      <c r="H726" s="10"/>
      <c r="I726" s="10"/>
      <c r="J726" s="10"/>
      <c r="K726" s="10"/>
    </row>
  </sheetData>
  <mergeCells>
    <mergeCell ref="A1:K1"/>
    <mergeCell ref="A2:B3"/>
    <mergeCell ref="A4:B5"/>
    <mergeCell ref="A6:B7"/>
    <mergeCell ref="A8:B9"/>
    <mergeCell ref="E2:F3"/>
    <mergeCell ref="E4:F5"/>
    <mergeCell ref="E6:F7"/>
    <mergeCell ref="E8:F9"/>
    <mergeCell ref="H2:H3"/>
    <mergeCell ref="H4:H5"/>
    <mergeCell ref="H6:H7"/>
    <mergeCell ref="H8:H9"/>
    <mergeCell ref="C2:D3"/>
    <mergeCell ref="C4:D5"/>
    <mergeCell ref="C6:D7"/>
    <mergeCell ref="C8:D9"/>
    <mergeCell ref="G2:G3"/>
    <mergeCell ref="G4:G5"/>
    <mergeCell ref="G6:G7"/>
    <mergeCell ref="G8:G9"/>
    <mergeCell ref="I2:K3"/>
    <mergeCell ref="I4:K5"/>
    <mergeCell ref="I6:K7"/>
    <mergeCell ref="I8:K9"/>
    <mergeCell ref="C10:D10"/>
    <mergeCell ref="C11:D11"/>
    <mergeCell ref="H10:J10"/>
    <mergeCell ref="C12:D12"/>
    <mergeCell ref="C13:D13"/>
    <mergeCell ref="C14:D14"/>
    <mergeCell ref="C16:D16"/>
    <mergeCell ref="C17:K17"/>
    <mergeCell ref="C19:D19"/>
    <mergeCell ref="C20:D20"/>
    <mergeCell ref="C21:K21"/>
    <mergeCell ref="C24:K24"/>
    <mergeCell ref="C25:D25"/>
    <mergeCell ref="C26:D26"/>
    <mergeCell ref="C28:D28"/>
    <mergeCell ref="C30:D30"/>
    <mergeCell ref="C31:D31"/>
    <mergeCell ref="C32:K32"/>
    <mergeCell ref="C34:D34"/>
    <mergeCell ref="C35:D35"/>
    <mergeCell ref="C36:K36"/>
    <mergeCell ref="C38:D38"/>
    <mergeCell ref="C40:D40"/>
    <mergeCell ref="C42:D42"/>
    <mergeCell ref="C43:D43"/>
    <mergeCell ref="C45:K45"/>
    <mergeCell ref="C46:D46"/>
    <mergeCell ref="C47:K47"/>
    <mergeCell ref="C52:K52"/>
    <mergeCell ref="C53:D53"/>
    <mergeCell ref="C54:K54"/>
    <mergeCell ref="C58:D58"/>
    <mergeCell ref="C59:D59"/>
    <mergeCell ref="C60:K60"/>
    <mergeCell ref="C62:D62"/>
    <mergeCell ref="C63:K63"/>
    <mergeCell ref="C65:D65"/>
    <mergeCell ref="C66:D66"/>
    <mergeCell ref="C68:D68"/>
    <mergeCell ref="C70:K70"/>
    <mergeCell ref="C71:D71"/>
    <mergeCell ref="C72:D72"/>
    <mergeCell ref="C73:D73"/>
    <mergeCell ref="C74:K74"/>
    <mergeCell ref="C76:D76"/>
    <mergeCell ref="C78:K78"/>
    <mergeCell ref="C79:D79"/>
    <mergeCell ref="C80:D80"/>
    <mergeCell ref="C81:K81"/>
    <mergeCell ref="C83:D83"/>
    <mergeCell ref="C84:D84"/>
    <mergeCell ref="C85:D85"/>
    <mergeCell ref="C86:K86"/>
    <mergeCell ref="C89:D89"/>
    <mergeCell ref="C92:K92"/>
    <mergeCell ref="C93:D93"/>
    <mergeCell ref="C94:D94"/>
    <mergeCell ref="C96:K96"/>
    <mergeCell ref="C97:D97"/>
    <mergeCell ref="C98:D98"/>
    <mergeCell ref="C100:D100"/>
    <mergeCell ref="C102:K102"/>
    <mergeCell ref="C103:D103"/>
    <mergeCell ref="C106:K106"/>
    <mergeCell ref="C107:D107"/>
    <mergeCell ref="C109:K109"/>
    <mergeCell ref="C110:D110"/>
    <mergeCell ref="C112:K112"/>
    <mergeCell ref="C113:D113"/>
    <mergeCell ref="C115:D115"/>
    <mergeCell ref="C116:D116"/>
    <mergeCell ref="C118:K118"/>
    <mergeCell ref="C119:D119"/>
    <mergeCell ref="C121:D121"/>
    <mergeCell ref="C123:K123"/>
    <mergeCell ref="C124:D124"/>
    <mergeCell ref="C126:D126"/>
    <mergeCell ref="C128:K128"/>
    <mergeCell ref="C129:D129"/>
    <mergeCell ref="C131:D131"/>
    <mergeCell ref="C133:K133"/>
    <mergeCell ref="C134:D134"/>
    <mergeCell ref="C136:D136"/>
    <mergeCell ref="C138:K138"/>
    <mergeCell ref="C139:D139"/>
    <mergeCell ref="C141:D141"/>
    <mergeCell ref="C143:K143"/>
    <mergeCell ref="C144:D144"/>
    <mergeCell ref="C146:D146"/>
    <mergeCell ref="C148:K148"/>
    <mergeCell ref="C149:D149"/>
    <mergeCell ref="C151:D151"/>
    <mergeCell ref="C152:D152"/>
    <mergeCell ref="C156:K156"/>
    <mergeCell ref="C157:D157"/>
    <mergeCell ref="C162:D162"/>
    <mergeCell ref="C163:D163"/>
    <mergeCell ref="C165:K165"/>
    <mergeCell ref="C166:D166"/>
    <mergeCell ref="C167:K167"/>
    <mergeCell ref="C169:D169"/>
    <mergeCell ref="C170:K170"/>
    <mergeCell ref="C173:D173"/>
    <mergeCell ref="C174:K174"/>
    <mergeCell ref="C176:D176"/>
    <mergeCell ref="C177:K177"/>
    <mergeCell ref="C179:K179"/>
    <mergeCell ref="C180:D180"/>
    <mergeCell ref="C181:D181"/>
    <mergeCell ref="C183:D183"/>
    <mergeCell ref="C184:D184"/>
    <mergeCell ref="C186:D186"/>
    <mergeCell ref="C187:D187"/>
    <mergeCell ref="C188:K188"/>
    <mergeCell ref="C190:D190"/>
    <mergeCell ref="C192:D192"/>
    <mergeCell ref="C193:D193"/>
    <mergeCell ref="C194:K194"/>
    <mergeCell ref="C196:D196"/>
    <mergeCell ref="C197:D197"/>
    <mergeCell ref="C198:K198"/>
    <mergeCell ref="C200:K200"/>
    <mergeCell ref="C201:D201"/>
    <mergeCell ref="C202:D202"/>
    <mergeCell ref="C203:K203"/>
    <mergeCell ref="C206:D206"/>
    <mergeCell ref="C207:K207"/>
    <mergeCell ref="C210:K210"/>
    <mergeCell ref="C211:D211"/>
    <mergeCell ref="C213:D213"/>
    <mergeCell ref="C214:D214"/>
    <mergeCell ref="C215:K215"/>
    <mergeCell ref="C219:K219"/>
    <mergeCell ref="C220:D220"/>
    <mergeCell ref="C222:D222"/>
    <mergeCell ref="C223:K223"/>
    <mergeCell ref="C225:D225"/>
    <mergeCell ref="C227:K227"/>
    <mergeCell ref="C228:D228"/>
    <mergeCell ref="C230:K230"/>
    <mergeCell ref="C231:D231"/>
    <mergeCell ref="C232:D232"/>
    <mergeCell ref="C234:D234"/>
    <mergeCell ref="C235:D235"/>
    <mergeCell ref="C236:K236"/>
    <mergeCell ref="C239:K239"/>
    <mergeCell ref="C240:D240"/>
    <mergeCell ref="C241:K241"/>
    <mergeCell ref="C244:K244"/>
    <mergeCell ref="C245:D245"/>
    <mergeCell ref="C247:K247"/>
    <mergeCell ref="C248:D248"/>
    <mergeCell ref="C249:D249"/>
    <mergeCell ref="C251:D251"/>
    <mergeCell ref="C254:K254"/>
    <mergeCell ref="C255:D255"/>
    <mergeCell ref="C257:K257"/>
    <mergeCell ref="C258:D258"/>
    <mergeCell ref="C260:K260"/>
    <mergeCell ref="C261:D261"/>
    <mergeCell ref="C263:K263"/>
    <mergeCell ref="C264:D264"/>
    <mergeCell ref="C265:D265"/>
    <mergeCell ref="C266:K266"/>
    <mergeCell ref="C268:K268"/>
    <mergeCell ref="C269:D269"/>
    <mergeCell ref="C271:K271"/>
    <mergeCell ref="C272:D272"/>
    <mergeCell ref="C274:D274"/>
    <mergeCell ref="C276:K276"/>
    <mergeCell ref="C277:D277"/>
    <mergeCell ref="C278:K278"/>
    <mergeCell ref="C280:K280"/>
    <mergeCell ref="C281:D281"/>
    <mergeCell ref="C282:K282"/>
    <mergeCell ref="C284:K284"/>
    <mergeCell ref="C285:D285"/>
    <mergeCell ref="C286:K286"/>
    <mergeCell ref="C288:K288"/>
    <mergeCell ref="C289:D289"/>
    <mergeCell ref="C290:K290"/>
    <mergeCell ref="C292:K292"/>
    <mergeCell ref="C293:D293"/>
    <mergeCell ref="C294:K294"/>
    <mergeCell ref="C296:K296"/>
    <mergeCell ref="C297:D297"/>
    <mergeCell ref="C298:K298"/>
    <mergeCell ref="C300:K300"/>
    <mergeCell ref="C301:D301"/>
    <mergeCell ref="C303:K303"/>
    <mergeCell ref="C304:D304"/>
    <mergeCell ref="C306:D306"/>
    <mergeCell ref="C307:D307"/>
    <mergeCell ref="C309:K309"/>
    <mergeCell ref="C310:D310"/>
    <mergeCell ref="C311:D311"/>
    <mergeCell ref="C313:K313"/>
    <mergeCell ref="C314:D314"/>
    <mergeCell ref="C315:D315"/>
    <mergeCell ref="C317:D317"/>
    <mergeCell ref="C318:D318"/>
    <mergeCell ref="C320:K320"/>
    <mergeCell ref="C321:D321"/>
    <mergeCell ref="C322:D322"/>
    <mergeCell ref="C324:K324"/>
    <mergeCell ref="C325:D325"/>
    <mergeCell ref="C327:K327"/>
    <mergeCell ref="C328:D328"/>
    <mergeCell ref="C330:K330"/>
    <mergeCell ref="C331:D331"/>
    <mergeCell ref="C334:K334"/>
    <mergeCell ref="C335:D335"/>
    <mergeCell ref="C338:K338"/>
    <mergeCell ref="C339:D339"/>
    <mergeCell ref="C342:K342"/>
    <mergeCell ref="C343:D343"/>
    <mergeCell ref="C345:D345"/>
    <mergeCell ref="C347:D347"/>
    <mergeCell ref="C349:D349"/>
    <mergeCell ref="C351:D351"/>
    <mergeCell ref="C354:K354"/>
    <mergeCell ref="C355:D355"/>
    <mergeCell ref="C357:K357"/>
    <mergeCell ref="C358:D358"/>
    <mergeCell ref="C360:K360"/>
    <mergeCell ref="C361:D361"/>
    <mergeCell ref="C363:K363"/>
    <mergeCell ref="C364:D364"/>
    <mergeCell ref="C366:K366"/>
    <mergeCell ref="C367:D367"/>
    <mergeCell ref="C369:K369"/>
    <mergeCell ref="C370:D370"/>
    <mergeCell ref="C372:K372"/>
    <mergeCell ref="C373:D373"/>
    <mergeCell ref="C375:D375"/>
    <mergeCell ref="C377:K377"/>
    <mergeCell ref="C378:D378"/>
    <mergeCell ref="C380:K380"/>
    <mergeCell ref="C381:D381"/>
    <mergeCell ref="C382:D382"/>
    <mergeCell ref="C383:D383"/>
    <mergeCell ref="C384:K384"/>
    <mergeCell ref="C386:D386"/>
    <mergeCell ref="C388:K388"/>
    <mergeCell ref="C389:D389"/>
    <mergeCell ref="C390:D390"/>
    <mergeCell ref="C391:D391"/>
    <mergeCell ref="C392:K392"/>
    <mergeCell ref="C394:D394"/>
    <mergeCell ref="C395:D395"/>
    <mergeCell ref="C396:K396"/>
    <mergeCell ref="C398:K398"/>
    <mergeCell ref="C399:D399"/>
    <mergeCell ref="C401:D401"/>
    <mergeCell ref="C403:K403"/>
    <mergeCell ref="C404:D404"/>
    <mergeCell ref="C408:K408"/>
    <mergeCell ref="C409:D409"/>
    <mergeCell ref="C411:K411"/>
    <mergeCell ref="C412:D412"/>
    <mergeCell ref="C413:D413"/>
    <mergeCell ref="C417:K417"/>
    <mergeCell ref="C418:D418"/>
    <mergeCell ref="C420:D420"/>
    <mergeCell ref="C422:K422"/>
    <mergeCell ref="C423:D423"/>
    <mergeCell ref="C425:D425"/>
    <mergeCell ref="C427:K427"/>
    <mergeCell ref="C428:D428"/>
    <mergeCell ref="C430:D430"/>
    <mergeCell ref="C432:K432"/>
    <mergeCell ref="C433:D433"/>
    <mergeCell ref="C435:D435"/>
    <mergeCell ref="C436:D436"/>
    <mergeCell ref="C439:K439"/>
    <mergeCell ref="C440:D440"/>
    <mergeCell ref="C443:D443"/>
    <mergeCell ref="C444:D444"/>
    <mergeCell ref="C446:K446"/>
    <mergeCell ref="C447:D447"/>
    <mergeCell ref="C448:K448"/>
    <mergeCell ref="C453:D453"/>
    <mergeCell ref="C454:K454"/>
    <mergeCell ref="C458:K458"/>
    <mergeCell ref="C459:D459"/>
    <mergeCell ref="C460:D460"/>
    <mergeCell ref="C462:D462"/>
    <mergeCell ref="C463:D463"/>
    <mergeCell ref="C464:K464"/>
    <mergeCell ref="C466:K466"/>
    <mergeCell ref="C467:D467"/>
    <mergeCell ref="C468:D468"/>
    <mergeCell ref="C469:K469"/>
    <mergeCell ref="C472:D472"/>
    <mergeCell ref="C473:K473"/>
    <mergeCell ref="C475:D475"/>
    <mergeCell ref="C476:K476"/>
    <mergeCell ref="C478:K478"/>
    <mergeCell ref="C479:D479"/>
    <mergeCell ref="C480:D480"/>
    <mergeCell ref="C481:K481"/>
    <mergeCell ref="C484:D484"/>
    <mergeCell ref="C485:D485"/>
    <mergeCell ref="C486:K486"/>
    <mergeCell ref="C491:K491"/>
    <mergeCell ref="C492:D492"/>
    <mergeCell ref="C494:K494"/>
    <mergeCell ref="C495:D495"/>
    <mergeCell ref="C496:D496"/>
    <mergeCell ref="C497:K497"/>
    <mergeCell ref="C499:D499"/>
    <mergeCell ref="C500:D500"/>
    <mergeCell ref="C503:K503"/>
    <mergeCell ref="C504:D504"/>
    <mergeCell ref="C507:K507"/>
    <mergeCell ref="C508:D508"/>
    <mergeCell ref="C509:D509"/>
    <mergeCell ref="C511:K511"/>
    <mergeCell ref="C512:D512"/>
    <mergeCell ref="C514:K514"/>
    <mergeCell ref="C515:D515"/>
    <mergeCell ref="C517:K517"/>
    <mergeCell ref="C518:D518"/>
    <mergeCell ref="C520:K520"/>
    <mergeCell ref="C521:D521"/>
    <mergeCell ref="C523:D523"/>
    <mergeCell ref="C525:K525"/>
    <mergeCell ref="C526:D526"/>
    <mergeCell ref="C528:D528"/>
    <mergeCell ref="C530:D530"/>
    <mergeCell ref="C531:D531"/>
    <mergeCell ref="C535:K535"/>
    <mergeCell ref="C536:D536"/>
    <mergeCell ref="C537:D537"/>
    <mergeCell ref="C539:K539"/>
    <mergeCell ref="C540:D540"/>
    <mergeCell ref="C541:D541"/>
    <mergeCell ref="C543:D543"/>
    <mergeCell ref="C545:D545"/>
    <mergeCell ref="C546:D546"/>
    <mergeCell ref="C548:K548"/>
    <mergeCell ref="C549:D549"/>
    <mergeCell ref="C550:D550"/>
    <mergeCell ref="C552:D552"/>
    <mergeCell ref="C554:D554"/>
    <mergeCell ref="C555:D555"/>
    <mergeCell ref="C557:K557"/>
    <mergeCell ref="C558:D558"/>
    <mergeCell ref="C560:K560"/>
    <mergeCell ref="C561:K561"/>
    <mergeCell ref="C562:D562"/>
    <mergeCell ref="C564:K564"/>
    <mergeCell ref="C565:D565"/>
    <mergeCell ref="C567:K567"/>
    <mergeCell ref="C568:D568"/>
    <mergeCell ref="C570:K570"/>
    <mergeCell ref="C571:D571"/>
    <mergeCell ref="C573:K573"/>
    <mergeCell ref="C574:D574"/>
    <mergeCell ref="C577:K577"/>
    <mergeCell ref="C578:D578"/>
    <mergeCell ref="C581:K581"/>
    <mergeCell ref="C582:D582"/>
    <mergeCell ref="C585:K585"/>
    <mergeCell ref="C586:D586"/>
    <mergeCell ref="C588:K588"/>
    <mergeCell ref="C589:D589"/>
    <mergeCell ref="C591:K591"/>
    <mergeCell ref="C592:D592"/>
    <mergeCell ref="C594:K594"/>
    <mergeCell ref="C595:D595"/>
    <mergeCell ref="C597:K597"/>
    <mergeCell ref="C598:D598"/>
    <mergeCell ref="C600:K600"/>
    <mergeCell ref="C601:D601"/>
    <mergeCell ref="C603:D603"/>
    <mergeCell ref="C604:D604"/>
    <mergeCell ref="C605:D605"/>
    <mergeCell ref="C606:K606"/>
    <mergeCell ref="C608:D608"/>
    <mergeCell ref="C610:K610"/>
    <mergeCell ref="C611:D611"/>
    <mergeCell ref="C612:D612"/>
    <mergeCell ref="C613:D613"/>
    <mergeCell ref="C614:K614"/>
    <mergeCell ref="C616:D616"/>
    <mergeCell ref="C618:K618"/>
    <mergeCell ref="C619:D619"/>
    <mergeCell ref="C620:D620"/>
    <mergeCell ref="C621:K621"/>
    <mergeCell ref="C623:D623"/>
    <mergeCell ref="C624:D624"/>
    <mergeCell ref="C626:D626"/>
    <mergeCell ref="C627:D627"/>
    <mergeCell ref="C628:K628"/>
    <mergeCell ref="C630:D630"/>
    <mergeCell ref="C631:D631"/>
    <mergeCell ref="C633:D633"/>
    <mergeCell ref="C635:D635"/>
    <mergeCell ref="C637:D637"/>
    <mergeCell ref="C638:D638"/>
    <mergeCell ref="C639:K639"/>
    <mergeCell ref="C641:D641"/>
    <mergeCell ref="C642:K642"/>
    <mergeCell ref="C644:D644"/>
    <mergeCell ref="C645:K645"/>
    <mergeCell ref="C647:D647"/>
    <mergeCell ref="C648:K648"/>
    <mergeCell ref="C650:D650"/>
    <mergeCell ref="C652:D652"/>
    <mergeCell ref="C654:D654"/>
    <mergeCell ref="C655:K655"/>
    <mergeCell ref="C657:D657"/>
    <mergeCell ref="C659:D659"/>
    <mergeCell ref="C660:D660"/>
    <mergeCell ref="C662:K662"/>
    <mergeCell ref="C663:D663"/>
    <mergeCell ref="C665:D665"/>
    <mergeCell ref="C667:D667"/>
    <mergeCell ref="C669:K669"/>
    <mergeCell ref="C670:D670"/>
    <mergeCell ref="C672:K672"/>
    <mergeCell ref="C673:D673"/>
    <mergeCell ref="C674:K674"/>
    <mergeCell ref="C676:D676"/>
    <mergeCell ref="C678:D678"/>
    <mergeCell ref="C679:K679"/>
    <mergeCell ref="C681:D681"/>
    <mergeCell ref="C682:K682"/>
    <mergeCell ref="C684:D684"/>
    <mergeCell ref="C685:K685"/>
    <mergeCell ref="C687:D687"/>
    <mergeCell ref="C688:K688"/>
    <mergeCell ref="C690:D690"/>
    <mergeCell ref="C691:K691"/>
    <mergeCell ref="C693:D693"/>
    <mergeCell ref="C694:K694"/>
    <mergeCell ref="C696:D696"/>
    <mergeCell ref="C697:K697"/>
    <mergeCell ref="C699:D699"/>
    <mergeCell ref="C701:D701"/>
    <mergeCell ref="C702:D702"/>
    <mergeCell ref="C704:D704"/>
    <mergeCell ref="C706:D706"/>
    <mergeCell ref="C707:D707"/>
    <mergeCell ref="C708:D708"/>
    <mergeCell ref="C709:K709"/>
    <mergeCell ref="C711:D711"/>
    <mergeCell ref="C713:K713"/>
    <mergeCell ref="C714:D714"/>
    <mergeCell ref="C715:D715"/>
    <mergeCell ref="C716:D716"/>
    <mergeCell ref="C717:D717"/>
    <mergeCell ref="C719:K719"/>
    <mergeCell ref="C720:D720"/>
    <mergeCell ref="C721:D721"/>
    <mergeCell ref="C723:K723"/>
    <mergeCell ref="H724:I724"/>
    <mergeCell ref="A726:K726"/>
  </mergeCells>
  <pageMargins left="0.393999993801117" top="0.591000020503998" right="0.393999993801117" bottom="0.591000020503998" header="0" footer="0"/>
  <pageSetup orientation="landscape" fitToHeight="0" fitToWidth="1" cellComments="none"/>
  <drawing r:id="rId1"/>
</worksheet>
</file>

<file path=docProps/core.xml><?xml version="1.0" encoding="utf-8"?>
<cp:coreProperties xmlns:xsi="http://www.w3.org/2001/XMLSchema-instance" xmlns:dcmitype="http://purl.org/dc/dcmitype/" xmlns:dcterms="http://purl.org/dc/terms/" xmlns:dc="http://purl.org/dc/elements/1.1/" xmlns:cp="http://schemas.openxmlformats.org/package/2006/metadata/core-properties">
  <dc:creator>HP</dc:creator>
  <cp:lastModifiedBy>HP</cp:lastModifiedBy>
  <dcterms:created xsi:type="dcterms:W3CDTF">2021-06-10T20:06:38.031Z</dcterms:created>
  <dcterms:modified xsi:type="dcterms:W3CDTF">2021-06-10T20:06:38.351Z</dcterms:modified>
</cp:coreProperties>
</file>